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/Documents/Projects/Blog/blog/content/posts/bercar/"/>
    </mc:Choice>
  </mc:AlternateContent>
  <xr:revisionPtr revIDLastSave="0" documentId="13_ncr:1_{34E5D727-65A0-7748-8372-362B7FADF3AC}" xr6:coauthVersionLast="47" xr6:coauthVersionMax="47" xr10:uidLastSave="{00000000-0000-0000-0000-000000000000}"/>
  <bookViews>
    <workbookView xWindow="-7380" yWindow="-21100" windowWidth="38400" windowHeight="21100" xr2:uid="{054AFE18-7A79-FF4E-B019-D1ACF7DD833D}"/>
  </bookViews>
  <sheets>
    <sheet name="Машина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" i="3" l="1"/>
  <c r="C59" i="3" a="1"/>
  <c r="C59" i="3" s="1"/>
  <c r="A59" i="3"/>
  <c r="A60" i="3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C60" i="3" a="1"/>
  <c r="C60" i="3" s="1"/>
  <c r="C74" i="3" s="1"/>
  <c r="C77" i="3" l="1"/>
  <c r="C63" i="3" l="1" a="1"/>
  <c r="C63" i="3" s="1"/>
  <c r="C58" i="3"/>
  <c r="C34" i="3"/>
  <c r="C35" i="3" a="1"/>
  <c r="C35" i="3" s="1"/>
  <c r="C70" i="3" l="1"/>
  <c r="B44" i="3" l="1"/>
  <c r="B45" i="3"/>
  <c r="B46" i="3"/>
  <c r="G45" i="3" a="1"/>
  <c r="G45" i="3" s="1"/>
  <c r="F45" i="3" a="1"/>
  <c r="F45" i="3" s="1"/>
  <c r="E45" i="3" a="1"/>
  <c r="E45" i="3" s="1"/>
  <c r="D45" i="3" a="1"/>
  <c r="D45" i="3" s="1"/>
  <c r="C45" i="3" a="1"/>
  <c r="C45" i="3" s="1"/>
  <c r="B35" i="3"/>
  <c r="C49" i="3"/>
  <c r="P27" i="3"/>
  <c r="O27" i="3"/>
  <c r="N27" i="3"/>
  <c r="M27" i="3"/>
  <c r="L27" i="3"/>
  <c r="K27" i="3"/>
  <c r="J27" i="3"/>
  <c r="I27" i="3"/>
  <c r="H27" i="3"/>
  <c r="G27" i="3"/>
  <c r="F27" i="3"/>
  <c r="E27" i="3"/>
  <c r="W71" i="3"/>
  <c r="V71" i="3"/>
  <c r="V13" i="3"/>
  <c r="V14" i="3" s="1"/>
  <c r="V15" i="3" s="1"/>
  <c r="V16" i="3" s="1"/>
  <c r="V17" i="3" s="1"/>
  <c r="V18" i="3" s="1"/>
  <c r="V19" i="3" s="1"/>
  <c r="V20" i="3" s="1"/>
  <c r="V21" i="3" s="1"/>
  <c r="V22" i="3" s="1"/>
  <c r="V23" i="3" s="1"/>
  <c r="V24" i="3" s="1"/>
  <c r="V25" i="3" s="1"/>
  <c r="V26" i="3" s="1"/>
  <c r="V27" i="3" s="1"/>
  <c r="V28" i="3" s="1"/>
  <c r="V29" i="3" s="1"/>
  <c r="V30" i="3" s="1"/>
  <c r="V31" i="3" s="1"/>
  <c r="W28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Y24" i="3" s="1"/>
  <c r="C24" i="3"/>
  <c r="X24" i="3" s="1"/>
  <c r="W24" i="3"/>
  <c r="Y13" i="3"/>
  <c r="X13" i="3"/>
  <c r="X12" i="3"/>
  <c r="W31" i="3"/>
  <c r="W29" i="3"/>
  <c r="Y27" i="3"/>
  <c r="X27" i="3"/>
  <c r="W27" i="3"/>
  <c r="W26" i="3"/>
  <c r="Y25" i="3"/>
  <c r="X25" i="3"/>
  <c r="W25" i="3"/>
  <c r="Y23" i="3"/>
  <c r="X23" i="3"/>
  <c r="W23" i="3"/>
  <c r="Y22" i="3"/>
  <c r="X22" i="3"/>
  <c r="W22" i="3"/>
  <c r="Y21" i="3"/>
  <c r="X21" i="3"/>
  <c r="W21" i="3"/>
  <c r="Y20" i="3"/>
  <c r="X20" i="3"/>
  <c r="W20" i="3"/>
  <c r="Y19" i="3"/>
  <c r="X19" i="3"/>
  <c r="W19" i="3"/>
  <c r="Y18" i="3"/>
  <c r="X18" i="3"/>
  <c r="W18" i="3"/>
  <c r="Y17" i="3"/>
  <c r="X17" i="3"/>
  <c r="W17" i="3"/>
  <c r="Y16" i="3"/>
  <c r="X16" i="3"/>
  <c r="W16" i="3"/>
  <c r="Y15" i="3"/>
  <c r="X15" i="3"/>
  <c r="W15" i="3"/>
  <c r="Y14" i="3"/>
  <c r="X14" i="3"/>
  <c r="W14" i="3"/>
  <c r="W13" i="3"/>
  <c r="Y12" i="3"/>
  <c r="W12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Y29" i="3" s="1"/>
  <c r="C29" i="3"/>
  <c r="X29" i="3" s="1"/>
  <c r="S84" i="3"/>
  <c r="P68" i="3"/>
  <c r="P69" i="3" s="1"/>
  <c r="P70" i="3" s="1"/>
  <c r="P71" i="3" s="1"/>
  <c r="P72" i="3" s="1"/>
  <c r="P73" i="3" s="1"/>
  <c r="P74" i="3" s="1"/>
  <c r="P75" i="3" s="1"/>
  <c r="P76" i="3" s="1"/>
  <c r="P77" i="3" s="1"/>
  <c r="P78" i="3" s="1"/>
  <c r="P79" i="3" s="1"/>
  <c r="P80" i="3" s="1"/>
  <c r="P81" i="3" s="1"/>
  <c r="P82" i="3" s="1"/>
  <c r="P83" i="3" s="1"/>
  <c r="P84" i="3" s="1"/>
  <c r="T64" i="3"/>
  <c r="O60" i="3"/>
  <c r="N60" i="3"/>
  <c r="N61" i="3" s="1"/>
  <c r="N62" i="3" s="1"/>
  <c r="N63" i="3" s="1"/>
  <c r="N64" i="3" s="1"/>
  <c r="N65" i="3" s="1"/>
  <c r="N66" i="3" s="1"/>
  <c r="N67" i="3" s="1"/>
  <c r="N68" i="3" s="1"/>
  <c r="N69" i="3" s="1"/>
  <c r="N70" i="3" s="1"/>
  <c r="N71" i="3" s="1"/>
  <c r="N72" i="3" s="1"/>
  <c r="N73" i="3" s="1"/>
  <c r="N74" i="3" s="1"/>
  <c r="N75" i="3" s="1"/>
  <c r="N76" i="3" s="1"/>
  <c r="N77" i="3" s="1"/>
  <c r="N78" i="3" s="1"/>
  <c r="N79" i="3" s="1"/>
  <c r="N80" i="3" s="1"/>
  <c r="N81" i="3" s="1"/>
  <c r="N82" i="3" s="1"/>
  <c r="N83" i="3" s="1"/>
  <c r="D42" i="3"/>
  <c r="C37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Y26" i="3" s="1"/>
  <c r="C26" i="3"/>
  <c r="X26" i="3" s="1"/>
  <c r="T23" i="3"/>
  <c r="T22" i="3"/>
  <c r="T21" i="3"/>
  <c r="T20" i="3"/>
  <c r="T19" i="3"/>
  <c r="T18" i="3"/>
  <c r="T16" i="3"/>
  <c r="T14" i="3"/>
  <c r="A12" i="3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D11" i="3"/>
  <c r="E11" i="3" s="1"/>
  <c r="F11" i="3" s="1"/>
  <c r="G11" i="3" s="1"/>
  <c r="H11" i="3" s="1"/>
  <c r="I11" i="3" s="1"/>
  <c r="J11" i="3" s="1"/>
  <c r="K11" i="3" s="1"/>
  <c r="L11" i="3" s="1"/>
  <c r="M11" i="3" s="1"/>
  <c r="N11" i="3" s="1"/>
  <c r="O11" i="3" s="1"/>
  <c r="P11" i="3" s="1"/>
  <c r="C64" i="3" l="1" a="1"/>
  <c r="C64" i="3" s="1"/>
  <c r="C76" i="3" a="1"/>
  <c r="C76" i="3" s="1"/>
  <c r="C61" i="3" a="1"/>
  <c r="C61" i="3" s="1"/>
  <c r="C78" i="3" a="1"/>
  <c r="C78" i="3" s="1"/>
  <c r="G43" i="3" a="1"/>
  <c r="G43" i="3" s="1"/>
  <c r="E47" i="3" a="1"/>
  <c r="E47" i="3" s="1"/>
  <c r="C62" i="3" a="1"/>
  <c r="C62" i="3" s="1"/>
  <c r="C69" i="3" s="1"/>
  <c r="F44" i="3" a="1"/>
  <c r="F44" i="3" s="1"/>
  <c r="D44" i="3" a="1"/>
  <c r="D44" i="3" s="1"/>
  <c r="G44" i="3" a="1"/>
  <c r="G44" i="3" s="1"/>
  <c r="C44" i="3" a="1"/>
  <c r="C44" i="3" s="1"/>
  <c r="E44" i="3" a="1"/>
  <c r="E44" i="3" s="1"/>
  <c r="E46" i="3" a="1"/>
  <c r="E46" i="3" s="1"/>
  <c r="G28" i="3"/>
  <c r="G30" i="3" s="1"/>
  <c r="O28" i="3"/>
  <c r="E28" i="3"/>
  <c r="E30" i="3" s="1"/>
  <c r="M28" i="3"/>
  <c r="M30" i="3" s="1"/>
  <c r="E43" i="3" a="1"/>
  <c r="E43" i="3" s="1"/>
  <c r="C28" i="3"/>
  <c r="K28" i="3"/>
  <c r="K30" i="3" s="1"/>
  <c r="H28" i="3"/>
  <c r="H30" i="3" s="1"/>
  <c r="L28" i="3"/>
  <c r="L30" i="3" s="1"/>
  <c r="P28" i="3"/>
  <c r="P30" i="3" s="1"/>
  <c r="D28" i="3"/>
  <c r="F28" i="3"/>
  <c r="F30" i="3" s="1"/>
  <c r="N28" i="3"/>
  <c r="N30" i="3" s="1"/>
  <c r="I28" i="3"/>
  <c r="I30" i="3" s="1"/>
  <c r="F43" i="3" a="1"/>
  <c r="F43" i="3" s="1"/>
  <c r="C46" i="3" a="1"/>
  <c r="C46" i="3" s="1"/>
  <c r="G46" i="3" a="1"/>
  <c r="G46" i="3" s="1"/>
  <c r="C47" i="3" a="1"/>
  <c r="C47" i="3" s="1"/>
  <c r="G47" i="3" a="1"/>
  <c r="G47" i="3" s="1"/>
  <c r="F46" i="3" a="1"/>
  <c r="F46" i="3" s="1"/>
  <c r="F47" i="3" a="1"/>
  <c r="F47" i="3" s="1"/>
  <c r="J28" i="3"/>
  <c r="J30" i="3" s="1"/>
  <c r="D46" i="3" a="1"/>
  <c r="D46" i="3" s="1"/>
  <c r="D47" i="3" a="1"/>
  <c r="D47" i="3" s="1"/>
  <c r="D43" i="3" a="1"/>
  <c r="D43" i="3" s="1"/>
  <c r="C43" i="3" a="1"/>
  <c r="C43" i="3" s="1"/>
  <c r="C50" i="3"/>
  <c r="C48" i="3"/>
  <c r="S16" i="3"/>
  <c r="T26" i="3"/>
  <c r="D48" i="3"/>
  <c r="S19" i="3"/>
  <c r="S14" i="3"/>
  <c r="S18" i="3"/>
  <c r="S21" i="3"/>
  <c r="D49" i="3"/>
  <c r="E49" i="3" s="1"/>
  <c r="F49" i="3" s="1"/>
  <c r="G49" i="3" s="1"/>
  <c r="C38" i="3"/>
  <c r="S20" i="3"/>
  <c r="E42" i="3"/>
  <c r="N84" i="3"/>
  <c r="O30" i="3" l="1"/>
  <c r="Q24" i="3" s="1"/>
  <c r="D51" i="3"/>
  <c r="D52" i="3"/>
  <c r="D53" i="3"/>
  <c r="E51" i="3"/>
  <c r="F54" i="3"/>
  <c r="F51" i="3"/>
  <c r="C52" i="3"/>
  <c r="C53" i="3"/>
  <c r="C51" i="3"/>
  <c r="C71" i="3"/>
  <c r="C79" i="3" s="1"/>
  <c r="C30" i="3"/>
  <c r="X28" i="3"/>
  <c r="D30" i="3"/>
  <c r="Y30" i="3" s="1"/>
  <c r="Y28" i="3"/>
  <c r="E48" i="3"/>
  <c r="E52" i="3" s="1"/>
  <c r="F42" i="3"/>
  <c r="H49" i="3"/>
  <c r="I49" i="3" s="1"/>
  <c r="J49" i="3" s="1"/>
  <c r="D50" i="3"/>
  <c r="E50" i="3" s="1"/>
  <c r="F50" i="3" s="1"/>
  <c r="G50" i="3" s="1"/>
  <c r="E54" i="3" l="1"/>
  <c r="D54" i="3"/>
  <c r="C54" i="3"/>
  <c r="C80" i="3"/>
  <c r="C81" i="3" s="1"/>
  <c r="E53" i="3"/>
  <c r="C72" i="3"/>
  <c r="R29" i="3"/>
  <c r="R25" i="3"/>
  <c r="R26" i="3"/>
  <c r="R24" i="3"/>
  <c r="C31" i="3"/>
  <c r="X31" i="3" s="1"/>
  <c r="X30" i="3"/>
  <c r="Z24" i="3" s="1"/>
  <c r="G42" i="3"/>
  <c r="G48" i="3" s="1"/>
  <c r="F48" i="3"/>
  <c r="H50" i="3"/>
  <c r="I50" i="3" s="1"/>
  <c r="J50" i="3" s="1"/>
  <c r="F52" i="3" l="1"/>
  <c r="F53" i="3"/>
  <c r="Z30" i="3"/>
  <c r="Z26" i="3"/>
  <c r="Z27" i="3"/>
  <c r="Z29" i="3"/>
  <c r="Z25" i="3"/>
  <c r="H45" i="3"/>
  <c r="I45" i="3" s="1"/>
  <c r="J45" i="3" s="1"/>
  <c r="H48" i="3"/>
  <c r="I48" i="3" s="1"/>
  <c r="J48" i="3" s="1"/>
  <c r="H43" i="3" l="1"/>
  <c r="G51" i="3" s="1"/>
  <c r="H51" i="3" s="1"/>
  <c r="G54" i="3" l="1"/>
  <c r="H54" i="3" s="1"/>
  <c r="I54" i="3" s="1"/>
  <c r="J54" i="3" s="1"/>
  <c r="G52" i="3"/>
  <c r="H52" i="3" s="1"/>
  <c r="G53" i="3"/>
  <c r="I43" i="3"/>
  <c r="J43" i="3" s="1"/>
  <c r="F31" i="3" l="1"/>
  <c r="H31" i="3"/>
  <c r="M31" i="3"/>
  <c r="I31" i="3"/>
  <c r="D31" i="3"/>
  <c r="Y31" i="3" s="1"/>
  <c r="N31" i="3"/>
  <c r="L31" i="3"/>
  <c r="O31" i="3"/>
  <c r="Q15" i="3"/>
  <c r="Q25" i="3"/>
  <c r="Q19" i="3"/>
  <c r="E31" i="3"/>
  <c r="Q20" i="3"/>
  <c r="Q26" i="3"/>
  <c r="Q21" i="3"/>
  <c r="Q14" i="3"/>
  <c r="Q27" i="3"/>
  <c r="Q22" i="3"/>
  <c r="Q18" i="3"/>
  <c r="Q23" i="3"/>
  <c r="Q29" i="3"/>
  <c r="R27" i="3"/>
  <c r="J31" i="3"/>
  <c r="G31" i="3"/>
  <c r="P31" i="3"/>
  <c r="K31" i="3"/>
  <c r="H46" i="3" l="1"/>
  <c r="I46" i="3" s="1"/>
  <c r="J46" i="3" s="1"/>
  <c r="H44" i="3"/>
  <c r="I44" i="3" s="1"/>
  <c r="J44" i="3" s="1"/>
  <c r="H47" i="3" l="1"/>
  <c r="I47" i="3" s="1"/>
  <c r="J47" i="3" s="1"/>
  <c r="H53" i="3" l="1"/>
  <c r="I52" i="3"/>
  <c r="J52" i="3" s="1"/>
  <c r="I51" i="3"/>
  <c r="J51" i="3" s="1"/>
  <c r="I53" i="3" l="1"/>
  <c r="J5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<sst xmlns="http://schemas.openxmlformats.org/spreadsheetml/2006/main" count="184" uniqueCount="153">
  <si>
    <t>Diesel</t>
  </si>
  <si>
    <t>Petrol</t>
  </si>
  <si>
    <t>Купить в кредит и инвестировать</t>
  </si>
  <si>
    <t>Kупить в кредит</t>
  </si>
  <si>
    <t>Купить сразу наличкой</t>
  </si>
  <si>
    <t>Investment Gain</t>
  </si>
  <si>
    <t>Inflation loss</t>
  </si>
  <si>
    <t>Loan interest</t>
  </si>
  <si>
    <t>KfZ Steuer</t>
  </si>
  <si>
    <t>Per Month</t>
  </si>
  <si>
    <t>Per Year</t>
  </si>
  <si>
    <t>Total</t>
  </si>
  <si>
    <t xml:space="preserve"> </t>
  </si>
  <si>
    <t>https://www.destatis.de/SiteGlobals/Forms/Suche/Presse/EN/Pressesuche_Formular.html?sortOrder=score+desc&amp;cl2Taxonomies_Themen_0=preise&amp;cl2Taxonomies_Themen_1=verbraucherpreisindex</t>
  </si>
  <si>
    <t>Deutsche Bank</t>
  </si>
  <si>
    <t>Car Selection</t>
  </si>
  <si>
    <t>https://www.bundesfinanzministerium.de/Web/DE/Service/Apps_Rechner/KfzRechner/KfzRechner.html</t>
  </si>
  <si>
    <t>https://www.themoneycalculator.com/vehicle-finance/calculators/car-depreciation-by-make-and-model</t>
  </si>
  <si>
    <t>kfz.check24.de</t>
  </si>
  <si>
    <t>https://www.autohero.com/</t>
  </si>
  <si>
    <t>Co2 g/km</t>
  </si>
  <si>
    <t>Tiguan 1.4 TSI</t>
  </si>
  <si>
    <t>Q2 30 TDI</t>
  </si>
  <si>
    <t>C180 T</t>
  </si>
  <si>
    <t>CX5 2.2 AWD</t>
  </si>
  <si>
    <t>Tipo 1.4 T-jet</t>
  </si>
  <si>
    <t>500x 1.6 pop star</t>
  </si>
  <si>
    <t>1.2 500 lounge</t>
  </si>
  <si>
    <t>Duster 1.2 Tce 4x2</t>
  </si>
  <si>
    <t>X3 xDrive 20d</t>
  </si>
  <si>
    <t>sDrive 18i</t>
  </si>
  <si>
    <t>318d</t>
  </si>
  <si>
    <t>Correlation to Insurance</t>
  </si>
  <si>
    <t>Correlation to KfZ</t>
  </si>
  <si>
    <t>VW</t>
  </si>
  <si>
    <t>Audi</t>
  </si>
  <si>
    <t>Mbenz</t>
  </si>
  <si>
    <t>mazda</t>
  </si>
  <si>
    <t>mini</t>
  </si>
  <si>
    <t>Fiat</t>
  </si>
  <si>
    <t>Dacia</t>
  </si>
  <si>
    <t>BMW</t>
  </si>
  <si>
    <t>ID</t>
  </si>
  <si>
    <t>https://www.strategyengineers.com/wordpress/wp-content/uploads/2022/12/SE18_SharedMobility_Part1.pdf</t>
  </si>
  <si>
    <t>Rental use/year ('000km)</t>
  </si>
  <si>
    <t>Csharing use/year ('000km)</t>
  </si>
  <si>
    <t>https://www.odyssee-mure.eu/publications/efficiency-by-sector/transport/distance-travelled-by-car.html</t>
  </si>
  <si>
    <t>Annual use ('000km)</t>
  </si>
  <si>
    <t>Years ownership</t>
  </si>
  <si>
    <t>inspection cost, bi-annual</t>
  </si>
  <si>
    <t>Autocosts.info</t>
  </si>
  <si>
    <t>avg maintenance/year</t>
  </si>
  <si>
    <t>/L Diesel</t>
  </si>
  <si>
    <t>/l petrol</t>
  </si>
  <si>
    <t>Fiat 1.2 8v</t>
  </si>
  <si>
    <t>Audi a4 2.0 TDI Avant</t>
  </si>
  <si>
    <t>Марка</t>
  </si>
  <si>
    <t>Модель</t>
  </si>
  <si>
    <t>Год</t>
  </si>
  <si>
    <t>Пробег (км)</t>
  </si>
  <si>
    <t>Тип (1- Дизель, 2- Бензин)</t>
  </si>
  <si>
    <t>Расход топлива литр/100км</t>
  </si>
  <si>
    <t>Мощность (kW)</t>
  </si>
  <si>
    <t>Oбьём мотора (kcm)</t>
  </si>
  <si>
    <t>Множитель Починки</t>
  </si>
  <si>
    <t>Страховка/год</t>
  </si>
  <si>
    <t>KfZ steuer/год (налог)</t>
  </si>
  <si>
    <t>Трата в цене за 5 лет</t>
  </si>
  <si>
    <t>Топливо/год</t>
  </si>
  <si>
    <t>Стоимость/месяц</t>
  </si>
  <si>
    <t>Примечание</t>
  </si>
  <si>
    <t>Audi A4 Avant</t>
  </si>
  <si>
    <t>2.0 TDI</t>
  </si>
  <si>
    <t>1.4 TSFI</t>
  </si>
  <si>
    <t>Передачa</t>
  </si>
  <si>
    <t>Ручник</t>
  </si>
  <si>
    <t>Автомат</t>
  </si>
  <si>
    <t>Починка+Инспекция</t>
  </si>
  <si>
    <t>Цена покупки €</t>
  </si>
  <si>
    <t>Сумма 13,14,15,16</t>
  </si>
  <si>
    <t>Дизель €1.7/l, Бензин €1.73/л</t>
  </si>
  <si>
    <t>на [autoscout24.com](autoscout.com)</t>
  </si>
  <si>
    <t>на [kfz.check24.de](kfz.check24.de) €500 Teilkasko, 11k пробег</t>
  </si>
  <si>
    <t>[BFZ](https://www.bundesfinanzministerium.de/Web/DE/Service/Apps_Rechner/KfzRechner/KfzRechner.html)</t>
  </si>
  <si>
    <t>Модель с [autoscout24.com](autoscout24.com)</t>
  </si>
  <si>
    <t>[Дизель](https://www.autoscout24.com/offers/audi-a4-avant-sport-shz-acc-spurhalte-navi-diesel-grey-639fe030-7434-48ac-9e9e-5627d376d47d?sort=year&amp;desc=0&amp;lastSeenGuidPresent=true&amp;cldtidx=7&amp;position=7&amp;search_id=1ip6vscx31t&amp;source_otp=t20&amp;source=listpage_search-results&amp;order_bucket=unknown) [Бензин](https://www.autoscout24.com/offers/audi-a4-avant-1-4-tfsi-navi-led-gasoline-blue-0d3bb543-3105-4b0b-ae31-fd05b64a4c60?sort=year&amp;desc=0&amp;lastSeenGuidPresent=true&amp;cldtidx=2&amp;position=2&amp;search_id=2b32v5rsroh&amp;source_otp=t10&amp;source=listpage_search-results&amp;order_bucket=unknown)</t>
  </si>
  <si>
    <t>Средний Расход, у дизеля: 4л(автобан), 5.1л(город), Бензин: 5л(автобан), 7.3л(город)</t>
  </si>
  <si>
    <t>ГСМ</t>
  </si>
  <si>
    <t>ГСМ (годовая стоимость машины)</t>
  </si>
  <si>
    <t>% ГСМ</t>
  </si>
  <si>
    <t>Корр. ГСМ</t>
  </si>
  <si>
    <t>ГСМ без топлива</t>
  </si>
  <si>
    <t>Countryman</t>
  </si>
  <si>
    <t>Марка и Модель</t>
  </si>
  <si>
    <t>Цена кредита</t>
  </si>
  <si>
    <t>Время кредита (в месяцах)</t>
  </si>
  <si>
    <t>Платёж в месяц</t>
  </si>
  <si>
    <t>Инфляция</t>
  </si>
  <si>
    <t>Процент на инвестиции</t>
  </si>
  <si>
    <t>Трата в цене/год</t>
  </si>
  <si>
    <t>km Avant</t>
  </si>
  <si>
    <t>Year</t>
  </si>
  <si>
    <t>km Fiat</t>
  </si>
  <si>
    <t>Лизинг</t>
  </si>
  <si>
    <t>Цена Новой Машины</t>
  </si>
  <si>
    <t>Машина</t>
  </si>
  <si>
    <t>Страховка</t>
  </si>
  <si>
    <t>Сервис</t>
  </si>
  <si>
    <t>Toпливо в месяц</t>
  </si>
  <si>
    <t>EUR/m</t>
  </si>
  <si>
    <t>Лизинг банк ставка</t>
  </si>
  <si>
    <t>Лизинг время</t>
  </si>
  <si>
    <t>Месячный платёж за лисинг</t>
  </si>
  <si>
    <t>% поездок по работе</t>
  </si>
  <si>
    <t>Зарплата Брутто</t>
  </si>
  <si>
    <t>Плюс трата в цене</t>
  </si>
  <si>
    <t>Плюс расход на горючее</t>
  </si>
  <si>
    <t>Зарплата Брутто с Лизингом</t>
  </si>
  <si>
    <t>Возврат Кредит процентов</t>
  </si>
  <si>
    <t>Каждый месяц как привабка к Netto зарплате</t>
  </si>
  <si>
    <t>Допустим</t>
  </si>
  <si>
    <t>Сколько с Вашего Брутто забирается</t>
  </si>
  <si>
    <t>месяцев (Берёться на дольше 3х лет)</t>
  </si>
  <si>
    <t>Инспекция</t>
  </si>
  <si>
    <t>Разница между налогом на 9 и 13</t>
  </si>
  <si>
    <t>Выигрыш от Налогов/месяц</t>
  </si>
  <si>
    <t>KfZ налог</t>
  </si>
  <si>
    <t>Не влючается с Лизинг</t>
  </si>
  <si>
    <t>Цена Новой Машины по Лисингу</t>
  </si>
  <si>
    <t>Если вы покупаете у частника</t>
  </si>
  <si>
    <t>С 20% VAT и 10% комиссии дилеру</t>
  </si>
  <si>
    <t>Стоимость "Выкупа" машины</t>
  </si>
  <si>
    <t>Через 3 года, по правилам лисинга, 1% в месяц</t>
  </si>
  <si>
    <t>Через 3 года, для сравнения</t>
  </si>
  <si>
    <t>Стоимость машины у частника в момент "Выкупа"</t>
  </si>
  <si>
    <t>Суммарные расходы в месяц</t>
  </si>
  <si>
    <t>ГСМ Лизинга</t>
  </si>
  <si>
    <t>Настоящая месячная стоимость</t>
  </si>
  <si>
    <t>Включая потерю при "Выкупе" и годовую утрату в цене</t>
  </si>
  <si>
    <t xml:space="preserve">То, что в сумме вы платите </t>
  </si>
  <si>
    <t>ГСМ/12</t>
  </si>
  <si>
    <t>Может быть от 2.5%-4%</t>
  </si>
  <si>
    <t>Примечания</t>
  </si>
  <si>
    <t>Данные</t>
  </si>
  <si>
    <t>Графа</t>
  </si>
  <si>
    <t>2023 года</t>
  </si>
  <si>
    <t>Утрата в Цене Машины</t>
  </si>
  <si>
    <t>EUR/y Настоящая, по свободному рынку</t>
  </si>
  <si>
    <t>1% от Цены машины, с вашего Brutto не вычитается</t>
  </si>
  <si>
    <t>60%*Цену Топлива тоже с Brutto не вычитается</t>
  </si>
  <si>
    <t>Brutto-Лизинг+Горючее и Потеря в цене</t>
  </si>
  <si>
    <t>148€/2 года и ср. ц. починки с [autocosts.info](autocosts.info)</t>
  </si>
  <si>
    <r>
      <rPr>
        <sz val="20"/>
        <color theme="4"/>
        <rFont val="Calibri (Body)"/>
      </rPr>
      <t>Синие</t>
    </r>
    <r>
      <rPr>
        <sz val="20"/>
        <color theme="1"/>
        <rFont val="Calibri"/>
        <family val="2"/>
        <scheme val="minor"/>
      </rPr>
      <t xml:space="preserve"> Числа Можно менять а Чёрные Нет!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</si>
</sst>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0.0%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4"/>
      <name val="Calibri (Body)"/>
    </font>
  </fonts>
  <fills count="3">
    <fill>
      <patternFill patternType="none"/>
    </fill>
    <fill>
      <patternFill patternType="gray125"/>
    </fill>
    <fill>
      <patternFill patternType="solid">
        <fgColor rgb="FFFFB5B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10" fontId="0" fillId="0" borderId="0" xfId="0" applyNumberFormat="1"/>
    <xf numFmtId="9" fontId="0" fillId="0" borderId="0" xfId="1" applyFont="1"/>
    <xf numFmtId="43" fontId="0" fillId="0" borderId="0" xfId="0" applyNumberFormat="1"/>
    <xf numFmtId="41" fontId="0" fillId="0" borderId="0" xfId="0" applyNumberFormat="1"/>
    <xf numFmtId="164" fontId="0" fillId="0" borderId="0" xfId="0" applyNumberFormat="1"/>
    <xf numFmtId="1" fontId="0" fillId="0" borderId="0" xfId="0" applyNumberFormat="1"/>
    <xf numFmtId="165" fontId="0" fillId="0" borderId="0" xfId="0" applyNumberFormat="1"/>
    <xf numFmtId="8" fontId="0" fillId="0" borderId="0" xfId="0" applyNumberFormat="1"/>
    <xf numFmtId="0" fontId="2" fillId="0" borderId="0" xfId="0" applyFont="1"/>
    <xf numFmtId="166" fontId="2" fillId="0" borderId="0" xfId="0" applyNumberFormat="1" applyFont="1"/>
    <xf numFmtId="0" fontId="0" fillId="0" borderId="0" xfId="0" applyAlignment="1">
      <alignment wrapText="1"/>
    </xf>
    <xf numFmtId="0" fontId="0" fillId="2" borderId="0" xfId="0" applyFill="1"/>
    <xf numFmtId="0" fontId="3" fillId="0" borderId="0" xfId="2"/>
    <xf numFmtId="0" fontId="2" fillId="0" borderId="0" xfId="0" applyFont="1" applyAlignment="1">
      <alignment wrapText="1"/>
    </xf>
    <xf numFmtId="41" fontId="2" fillId="0" borderId="0" xfId="0" applyNumberFormat="1" applyFont="1"/>
    <xf numFmtId="166" fontId="2" fillId="0" borderId="0" xfId="1" applyNumberFormat="1" applyFont="1"/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2" fontId="0" fillId="0" borderId="0" xfId="0" applyNumberFormat="1"/>
    <xf numFmtId="9" fontId="2" fillId="0" borderId="0" xfId="0" applyNumberFormat="1" applyFont="1"/>
    <xf numFmtId="0" fontId="4" fillId="0" borderId="0" xfId="0" applyFont="1"/>
  </cellXfs>
  <cellStyles count="3">
    <cellStyle name="Hyperlink" xfId="2" builtinId="8"/>
    <cellStyle name="Normal" xfId="0" builtinId="0"/>
    <cellStyle name="Per cent" xfId="1" builtinId="5"/>
  </cellStyles>
  <dxfs count="2"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579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Машина!$C$34</c:f>
          <c:strCache>
            <c:ptCount val="1"/>
            <c:pt idx="0">
              <c:v> Fiat 1.2 500 lounge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Машина!$C$42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Машина!$B$51:$B$54</c:f>
              <c:strCache>
                <c:ptCount val="4"/>
                <c:pt idx="0">
                  <c:v>Купить сразу наличкой</c:v>
                </c:pt>
                <c:pt idx="1">
                  <c:v>Kупить в кредит</c:v>
                </c:pt>
                <c:pt idx="2">
                  <c:v>Купить в кредит и инвестировать</c:v>
                </c:pt>
                <c:pt idx="3">
                  <c:v>Лизинг</c:v>
                </c:pt>
              </c:strCache>
            </c:strRef>
          </c:cat>
          <c:val>
            <c:numRef>
              <c:f>Машина!$C$51:$C$54</c:f>
              <c:numCache>
                <c:formatCode>_(* #,##0_);_(* \(#,##0\);_(* "-"_);_(@_)</c:formatCode>
                <c:ptCount val="4"/>
                <c:pt idx="0">
                  <c:v>-9040.7199999999993</c:v>
                </c:pt>
                <c:pt idx="1">
                  <c:v>-2445.2816546331414</c:v>
                </c:pt>
                <c:pt idx="2">
                  <c:v>-2445.2816546331414</c:v>
                </c:pt>
                <c:pt idx="3" formatCode="_(* #,##0.00_);_(* \(#,##0.00\);_(* &quot;-&quot;??_);_(@_)">
                  <c:v>-6654.5986564119212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B-9947-B82B-6C490613B294}"/>
            </c:ext>
          </c:extLst>
        </c:ser>
        <c:ser>
          <c:idx val="1"/>
          <c:order val="1"/>
          <c:tx>
            <c:strRef>
              <c:f>Машина!$D$42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Машина!$B$51:$B$54</c:f>
              <c:strCache>
                <c:ptCount val="4"/>
                <c:pt idx="0">
                  <c:v>Купить сразу наличкой</c:v>
                </c:pt>
                <c:pt idx="1">
                  <c:v>Kупить в кредит</c:v>
                </c:pt>
                <c:pt idx="2">
                  <c:v>Купить в кредит и инвестировать</c:v>
                </c:pt>
                <c:pt idx="3">
                  <c:v>Лизинг</c:v>
                </c:pt>
              </c:strCache>
            </c:strRef>
          </c:cat>
          <c:val>
            <c:numRef>
              <c:f>Машина!$D$51:$D$54</c:f>
              <c:numCache>
                <c:formatCode>_(* #,##0_);_(* \(#,##0\);_(* "-"_);_(@_)</c:formatCode>
                <c:ptCount val="4"/>
                <c:pt idx="0">
                  <c:v>-1940.7199999999998</c:v>
                </c:pt>
                <c:pt idx="1">
                  <c:v>-2348.6899110211511</c:v>
                </c:pt>
                <c:pt idx="2">
                  <c:v>-2348.6899110211511</c:v>
                </c:pt>
                <c:pt idx="3" formatCode="_(* #,##0.00_);_(* \(#,##0.00\);_(* &quot;-&quot;??_);_(@_)">
                  <c:v>-6654.5986564119212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EB-9947-B82B-6C490613B294}"/>
            </c:ext>
          </c:extLst>
        </c:ser>
        <c:ser>
          <c:idx val="2"/>
          <c:order val="2"/>
          <c:tx>
            <c:strRef>
              <c:f>Машина!$E$42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Машина!$B$51:$B$54</c:f>
              <c:strCache>
                <c:ptCount val="4"/>
                <c:pt idx="0">
                  <c:v>Купить сразу наличкой</c:v>
                </c:pt>
                <c:pt idx="1">
                  <c:v>Kупить в кредит</c:v>
                </c:pt>
                <c:pt idx="2">
                  <c:v>Купить в кредит и инвестировать</c:v>
                </c:pt>
                <c:pt idx="3">
                  <c:v>Лизинг</c:v>
                </c:pt>
              </c:strCache>
            </c:strRef>
          </c:cat>
          <c:val>
            <c:numRef>
              <c:f>Машина!$E$51:$E$54</c:f>
              <c:numCache>
                <c:formatCode>_(* #,##0_);_(* \(#,##0\);_(* "-"_);_(@_)</c:formatCode>
                <c:ptCount val="4"/>
                <c:pt idx="0">
                  <c:v>-1940.7199999999998</c:v>
                </c:pt>
                <c:pt idx="1">
                  <c:v>-2244.392422976438</c:v>
                </c:pt>
                <c:pt idx="2">
                  <c:v>-2244.392422976438</c:v>
                </c:pt>
                <c:pt idx="3" formatCode="_(* #,##0.00_);_(* \(#,##0.00\);_(* &quot;-&quot;??_);_(@_)">
                  <c:v>-25692.881920411921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EB-9947-B82B-6C490613B294}"/>
            </c:ext>
          </c:extLst>
        </c:ser>
        <c:ser>
          <c:idx val="3"/>
          <c:order val="3"/>
          <c:tx>
            <c:strRef>
              <c:f>Машина!$F$42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Машина!$B$51:$B$54</c:f>
              <c:strCache>
                <c:ptCount val="4"/>
                <c:pt idx="0">
                  <c:v>Купить сразу наличкой</c:v>
                </c:pt>
                <c:pt idx="1">
                  <c:v>Kупить в кредит</c:v>
                </c:pt>
                <c:pt idx="2">
                  <c:v>Купить в кредит и инвестировать</c:v>
                </c:pt>
                <c:pt idx="3">
                  <c:v>Лизинг</c:v>
                </c:pt>
              </c:strCache>
            </c:strRef>
          </c:cat>
          <c:val>
            <c:numRef>
              <c:f>Машина!$F$51:$F$54</c:f>
              <c:numCache>
                <c:formatCode>_(* #,##0_);_(* \(#,##0\);_(* "-"_);_(@_)</c:formatCode>
                <c:ptCount val="4"/>
                <c:pt idx="0">
                  <c:v>-1940.7199999999998</c:v>
                </c:pt>
                <c:pt idx="1">
                  <c:v>-2131.7744537208678</c:v>
                </c:pt>
                <c:pt idx="2">
                  <c:v>-2131.7744537208678</c:v>
                </c:pt>
                <c:pt idx="3" formatCode="_(* #,##0.00_);_(* \(#,##0.00\);_(* &quot;-&quot;??_);_(@_)">
                  <c:v>-1940.7199999999998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EB-9947-B82B-6C490613B294}"/>
            </c:ext>
          </c:extLst>
        </c:ser>
        <c:ser>
          <c:idx val="4"/>
          <c:order val="4"/>
          <c:tx>
            <c:strRef>
              <c:f>Машина!$G$42</c:f>
              <c:strCache>
                <c:ptCount val="1"/>
                <c:pt idx="0">
                  <c:v>2028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Машина!$B$51:$B$54</c:f>
              <c:strCache>
                <c:ptCount val="4"/>
                <c:pt idx="0">
                  <c:v>Купить сразу наличкой</c:v>
                </c:pt>
                <c:pt idx="1">
                  <c:v>Kупить в кредит</c:v>
                </c:pt>
                <c:pt idx="2">
                  <c:v>Купить в кредит и инвестировать</c:v>
                </c:pt>
                <c:pt idx="3">
                  <c:v>Лизинг</c:v>
                </c:pt>
              </c:strCache>
            </c:strRef>
          </c:cat>
          <c:val>
            <c:numRef>
              <c:f>Машина!$G$51:$G$54</c:f>
              <c:numCache>
                <c:formatCode>_(* #,##0_);_(* \(#,##0\);_(* "-"_);_(@_)</c:formatCode>
                <c:ptCount val="4"/>
                <c:pt idx="0">
                  <c:v>1100.763774282188</c:v>
                </c:pt>
                <c:pt idx="1">
                  <c:v>2189.827775028989</c:v>
                </c:pt>
                <c:pt idx="2">
                  <c:v>2569.5471563511765</c:v>
                </c:pt>
                <c:pt idx="3" formatCode="_(* #,##0_);_(* \(#,##0\);_(* &quot;-&quot;??_);_(@_)">
                  <c:v>1820.4756867821879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EB-9947-B82B-6C490613B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9618128"/>
        <c:axId val="1399401856"/>
      </c:barChart>
      <c:catAx>
        <c:axId val="1399618128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9401856"/>
        <c:crosses val="autoZero"/>
        <c:auto val="1"/>
        <c:lblAlgn val="ctr"/>
        <c:lblOffset val="100"/>
        <c:noMultiLvlLbl val="0"/>
      </c:catAx>
      <c:valAx>
        <c:axId val="1399401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961812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Машина!$R$57</c:f>
              <c:strCache>
                <c:ptCount val="1"/>
                <c:pt idx="0">
                  <c:v>Audi a4 2.0 TDI Avant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Машина!$N$58:$N$83</c:f>
              <c:numCache>
                <c:formatCode>General</c:formatCode>
                <c:ptCount val="2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</c:numCache>
            </c:numRef>
          </c:cat>
          <c:val>
            <c:numRef>
              <c:f>Машина!$R$58:$R$83</c:f>
              <c:numCache>
                <c:formatCode>General</c:formatCode>
                <c:ptCount val="26"/>
                <c:pt idx="0">
                  <c:v>59750</c:v>
                </c:pt>
                <c:pt idx="1">
                  <c:v>47000</c:v>
                </c:pt>
                <c:pt idx="2">
                  <c:v>43900</c:v>
                </c:pt>
                <c:pt idx="3">
                  <c:v>25880</c:v>
                </c:pt>
                <c:pt idx="4">
                  <c:v>23000</c:v>
                </c:pt>
                <c:pt idx="5">
                  <c:v>19980</c:v>
                </c:pt>
                <c:pt idx="6">
                  <c:v>17750</c:v>
                </c:pt>
                <c:pt idx="7">
                  <c:v>15900</c:v>
                </c:pt>
                <c:pt idx="8">
                  <c:v>14500</c:v>
                </c:pt>
                <c:pt idx="9">
                  <c:v>12400</c:v>
                </c:pt>
                <c:pt idx="10">
                  <c:v>12250</c:v>
                </c:pt>
                <c:pt idx="11">
                  <c:v>10499</c:v>
                </c:pt>
                <c:pt idx="12">
                  <c:v>9990</c:v>
                </c:pt>
                <c:pt idx="13">
                  <c:v>9200</c:v>
                </c:pt>
                <c:pt idx="14">
                  <c:v>8250</c:v>
                </c:pt>
                <c:pt idx="15">
                  <c:v>6900</c:v>
                </c:pt>
                <c:pt idx="16">
                  <c:v>5999</c:v>
                </c:pt>
                <c:pt idx="17">
                  <c:v>4500</c:v>
                </c:pt>
                <c:pt idx="18">
                  <c:v>4500</c:v>
                </c:pt>
                <c:pt idx="19">
                  <c:v>1950</c:v>
                </c:pt>
                <c:pt idx="20">
                  <c:v>1700</c:v>
                </c:pt>
                <c:pt idx="21">
                  <c:v>1600</c:v>
                </c:pt>
                <c:pt idx="22">
                  <c:v>799</c:v>
                </c:pt>
                <c:pt idx="23">
                  <c:v>999</c:v>
                </c:pt>
                <c:pt idx="24">
                  <c:v>1250</c:v>
                </c:pt>
                <c:pt idx="25">
                  <c:v>1800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C7-EF4F-B8BA-6640F289D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9616288"/>
        <c:axId val="1395735216"/>
      </c:lineChart>
      <c:catAx>
        <c:axId val="1409616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1300" baseline="0"/>
                  <a:t>Возраст Машины (в Годах)</a:t>
                </a:r>
                <a:endParaRPr lang="en-GB" sz="1300" baseline="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5735216"/>
        <c:crosses val="autoZero"/>
        <c:auto val="1"/>
        <c:lblAlgn val="ctr"/>
        <c:lblOffset val="100"/>
        <c:noMultiLvlLbl val="0"/>
      </c:catAx>
      <c:valAx>
        <c:axId val="139573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1300" baseline="0"/>
                  <a:t>Цена (</a:t>
                </a:r>
                <a:r>
                  <a:rPr lang="en-US" sz="1300" baseline="0"/>
                  <a:t>EUR)</a:t>
                </a:r>
                <a:endParaRPr lang="en-GB" sz="1300" baseline="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_-* #,##0_-;\-* #,##0_-;_-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9616288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128466</xdr:colOff>
      <xdr:row>31</xdr:row>
      <xdr:rowOff>143933</xdr:rowOff>
    </xdr:from>
    <xdr:to>
      <xdr:col>23</xdr:col>
      <xdr:colOff>301870</xdr:colOff>
      <xdr:row>52</xdr:row>
      <xdr:rowOff>10095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579CB5-9D2B-D94E-B319-18ACE4E85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908536</xdr:colOff>
      <xdr:row>53</xdr:row>
      <xdr:rowOff>127000</xdr:rowOff>
    </xdr:from>
    <xdr:to>
      <xdr:col>27</xdr:col>
      <xdr:colOff>764929</xdr:colOff>
      <xdr:row>78</xdr:row>
      <xdr:rowOff>29308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B007BD-F09A-B444-9750-C1DCFB23A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0.25851</cdr:x>
      <cdr:y>0.11216</cdr:y>
    </cdr:from>
    <cdr:to>
      <cdr:x>0.4904</cdr:x>
      <cdr:y>0.84967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B88F670D-44B4-E9A7-562E-EA617EDFAE5F}"/>
            </a:ext>
          </a:extLst>
        </cdr:cNvPr>
        <cdr:cNvSpPr/>
      </cdr:nvSpPr>
      <cdr:spPr>
        <a:xfrm xmlns:a="http://schemas.openxmlformats.org/drawingml/2006/main">
          <a:off x="1783864" y="558800"/>
          <a:ext cx="1600200" cy="3674533"/>
        </a:xfrm>
        <a:prstGeom xmlns:a="http://schemas.openxmlformats.org/drawingml/2006/main" prst="rect">
          <a:avLst/>
        </a:prstGeom>
        <a:solidFill xmlns:a="http://schemas.openxmlformats.org/drawingml/2006/main">
          <a:srgbClr val="5793FF">
            <a:alpha val="25098"/>
          </a:srgb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0.27078</cdr:x>
      <cdr:y>0.31608</cdr:y>
    </cdr:from>
    <cdr:to>
      <cdr:x>0.48426</cdr:x>
      <cdr:y>0.41974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84B87D28-EA4A-F194-1C01-CA44B09E52AB}"/>
            </a:ext>
          </a:extLst>
        </cdr:cNvPr>
        <cdr:cNvSpPr txBox="1"/>
      </cdr:nvSpPr>
      <cdr:spPr>
        <a:xfrm xmlns:a="http://schemas.openxmlformats.org/drawingml/2006/main">
          <a:off x="1868530" y="1574800"/>
          <a:ext cx="1473200" cy="5164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ru-RU" sz="1100"/>
            <a:t>Зона</a:t>
          </a:r>
          <a:r>
            <a:rPr lang="ru-RU" sz="1100" baseline="0"/>
            <a:t> Оптимальной Покупки</a:t>
          </a:r>
          <a:endParaRPr lang="en-GB" sz="1100"/>
        </a:p>
      </cdr:txBody>
    </cdr:sp>
  </cdr:relSizeAnchor>
  <cdr:relSizeAnchor xmlns:cdr="http://schemas.openxmlformats.org/drawingml/2006/chartDrawing">
    <cdr:from>
      <cdr:x>0.63923</cdr:x>
      <cdr:y>0.11046</cdr:y>
    </cdr:from>
    <cdr:to>
      <cdr:x>0.72106</cdr:x>
      <cdr:y>0.84797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40A7221E-D823-7AA6-348C-59D12AB40AB9}"/>
            </a:ext>
          </a:extLst>
        </cdr:cNvPr>
        <cdr:cNvSpPr/>
      </cdr:nvSpPr>
      <cdr:spPr>
        <a:xfrm xmlns:a="http://schemas.openxmlformats.org/drawingml/2006/main">
          <a:off x="4411133" y="550333"/>
          <a:ext cx="564665" cy="3674533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alpha val="25098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0.62942</cdr:x>
      <cdr:y>0.30928</cdr:y>
    </cdr:from>
    <cdr:to>
      <cdr:x>0.7775</cdr:x>
      <cdr:y>0.41294</cdr:y>
    </cdr:to>
    <cdr:sp macro="" textlink="">
      <cdr:nvSpPr>
        <cdr:cNvPr id="5" name="TextBox 2">
          <a:extLst xmlns:a="http://schemas.openxmlformats.org/drawingml/2006/main">
            <a:ext uri="{FF2B5EF4-FFF2-40B4-BE49-F238E27FC236}">
              <a16:creationId xmlns:a16="http://schemas.microsoft.com/office/drawing/2014/main" id="{08C9A5D4-29F5-E356-4660-95AB867A5A77}"/>
            </a:ext>
          </a:extLst>
        </cdr:cNvPr>
        <cdr:cNvSpPr txBox="1"/>
      </cdr:nvSpPr>
      <cdr:spPr>
        <a:xfrm xmlns:a="http://schemas.openxmlformats.org/drawingml/2006/main">
          <a:off x="4343399" y="1540933"/>
          <a:ext cx="1021865" cy="5164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ru-RU" sz="1100"/>
            <a:t>Зона</a:t>
          </a:r>
          <a:r>
            <a:rPr lang="ru-RU" sz="1100" baseline="0"/>
            <a:t> Оптимальной Продажи</a:t>
          </a:r>
          <a:endParaRPr lang="en-GB" sz="1100"/>
        </a:p>
      </cdr:txBody>
    </cdr:sp>
  </cdr:relSizeAnchor>
</c:userShap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destatis.de/SiteGlobals/Forms/Suche/Presse/EN/Pressesuche_Formular.html?sortOrder=score+desc&amp;cl2Taxonomies_Themen_0=preise&amp;cl2Taxonomies_Themen_1=verbraucherpreisinde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6BA4C-BA58-104B-88A9-F72D76750C6E}">
  <dimension ref="A1:AA99"/>
  <sheetViews>
    <sheetView tabSelected="1" topLeftCell="A13" zoomScale="150" zoomScaleNormal="120" workbookViewId="0">
      <selection activeCell="H37" sqref="H37"/>
    </sheetView>
  </sheetViews>
  <sheetFormatPr baseColWidth="10" defaultRowHeight="16" x14ac:dyDescent="0.2"/>
  <cols>
    <col min="1" max="1" width="6" customWidth="1"/>
    <col min="2" max="2" width="24.5" customWidth="1"/>
    <col min="3" max="4" width="10.1640625" customWidth="1"/>
    <col min="5" max="5" width="10.5" customWidth="1"/>
    <col min="6" max="6" width="10" customWidth="1"/>
    <col min="7" max="7" width="9.6640625" customWidth="1"/>
    <col min="8" max="8" width="10.5" customWidth="1"/>
    <col min="9" max="9" width="9.6640625" customWidth="1"/>
    <col min="10" max="10" width="9.83203125" customWidth="1"/>
    <col min="11" max="11" width="9.5" customWidth="1"/>
    <col min="12" max="14" width="8.83203125" customWidth="1"/>
    <col min="15" max="15" width="9.33203125" customWidth="1"/>
    <col min="16" max="16" width="10.33203125" customWidth="1"/>
    <col min="17" max="17" width="10.6640625" customWidth="1"/>
    <col min="18" max="18" width="8.83203125" customWidth="1"/>
    <col min="19" max="19" width="12.1640625" customWidth="1"/>
    <col min="20" max="20" width="11.5" customWidth="1"/>
    <col min="21" max="22" width="12" bestFit="1" customWidth="1"/>
    <col min="23" max="23" width="24.83203125" customWidth="1"/>
    <col min="35" max="35" width="14.5" customWidth="1"/>
  </cols>
  <sheetData>
    <row r="1" spans="1:27" ht="26" x14ac:dyDescent="0.3">
      <c r="B1" s="21" t="s">
        <v>152</v>
      </c>
    </row>
    <row r="2" spans="1:27" ht="17" x14ac:dyDescent="0.2">
      <c r="B2" s="11" t="s">
        <v>53</v>
      </c>
      <c r="C2" s="9">
        <v>1.73</v>
      </c>
    </row>
    <row r="3" spans="1:27" x14ac:dyDescent="0.2">
      <c r="B3" t="s">
        <v>52</v>
      </c>
      <c r="C3" s="9">
        <v>1.7</v>
      </c>
    </row>
    <row r="4" spans="1:27" x14ac:dyDescent="0.2">
      <c r="B4" t="s">
        <v>51</v>
      </c>
      <c r="C4" s="9">
        <v>336</v>
      </c>
      <c r="D4" t="s">
        <v>50</v>
      </c>
      <c r="E4" t="s">
        <v>12</v>
      </c>
    </row>
    <row r="5" spans="1:27" x14ac:dyDescent="0.2">
      <c r="B5" t="s">
        <v>49</v>
      </c>
      <c r="C5" s="9">
        <v>148</v>
      </c>
    </row>
    <row r="6" spans="1:27" x14ac:dyDescent="0.2">
      <c r="B6" t="s">
        <v>48</v>
      </c>
      <c r="C6" s="9">
        <v>5</v>
      </c>
    </row>
    <row r="7" spans="1:27" x14ac:dyDescent="0.2">
      <c r="B7" t="s">
        <v>47</v>
      </c>
      <c r="C7" s="9">
        <v>11.6</v>
      </c>
      <c r="D7" t="s">
        <v>46</v>
      </c>
      <c r="E7" t="s">
        <v>12</v>
      </c>
    </row>
    <row r="8" spans="1:27" x14ac:dyDescent="0.2">
      <c r="B8" t="s">
        <v>45</v>
      </c>
      <c r="C8" s="9">
        <v>24209</v>
      </c>
      <c r="D8" t="s">
        <v>43</v>
      </c>
      <c r="E8" t="s">
        <v>12</v>
      </c>
    </row>
    <row r="9" spans="1:27" x14ac:dyDescent="0.2">
      <c r="B9" t="s">
        <v>44</v>
      </c>
      <c r="C9" s="9">
        <v>41147</v>
      </c>
      <c r="D9" t="s">
        <v>43</v>
      </c>
      <c r="E9" t="s">
        <v>12</v>
      </c>
    </row>
    <row r="11" spans="1:27" x14ac:dyDescent="0.2">
      <c r="A11">
        <v>1</v>
      </c>
      <c r="B11" t="s">
        <v>42</v>
      </c>
      <c r="C11">
        <v>1</v>
      </c>
      <c r="D11">
        <f t="shared" ref="D11:P11" si="0">C11+1</f>
        <v>2</v>
      </c>
      <c r="E11">
        <f t="shared" si="0"/>
        <v>3</v>
      </c>
      <c r="F11">
        <f t="shared" si="0"/>
        <v>4</v>
      </c>
      <c r="G11">
        <f t="shared" si="0"/>
        <v>5</v>
      </c>
      <c r="H11">
        <f t="shared" si="0"/>
        <v>6</v>
      </c>
      <c r="I11">
        <f t="shared" si="0"/>
        <v>7</v>
      </c>
      <c r="J11">
        <f t="shared" si="0"/>
        <v>8</v>
      </c>
      <c r="K11">
        <f t="shared" si="0"/>
        <v>9</v>
      </c>
      <c r="L11">
        <f t="shared" si="0"/>
        <v>10</v>
      </c>
      <c r="M11">
        <f t="shared" si="0"/>
        <v>11</v>
      </c>
      <c r="N11">
        <f t="shared" si="0"/>
        <v>12</v>
      </c>
      <c r="O11">
        <f t="shared" si="0"/>
        <v>13</v>
      </c>
      <c r="P11">
        <f t="shared" si="0"/>
        <v>14</v>
      </c>
    </row>
    <row r="12" spans="1:27" ht="34" x14ac:dyDescent="0.2">
      <c r="A12">
        <f t="shared" ref="A12:A31" si="1">A11+1</f>
        <v>2</v>
      </c>
      <c r="B12" s="11" t="s">
        <v>56</v>
      </c>
      <c r="C12" s="14" t="s">
        <v>71</v>
      </c>
      <c r="D12" s="14" t="s">
        <v>71</v>
      </c>
      <c r="E12" s="14" t="s">
        <v>41</v>
      </c>
      <c r="F12" s="14" t="s">
        <v>41</v>
      </c>
      <c r="G12" s="14" t="s">
        <v>41</v>
      </c>
      <c r="H12" s="14" t="s">
        <v>40</v>
      </c>
      <c r="I12" s="14" t="s">
        <v>39</v>
      </c>
      <c r="J12" s="14" t="s">
        <v>39</v>
      </c>
      <c r="K12" s="14" t="s">
        <v>39</v>
      </c>
      <c r="L12" s="14" t="s">
        <v>38</v>
      </c>
      <c r="M12" s="14" t="s">
        <v>37</v>
      </c>
      <c r="N12" s="14" t="s">
        <v>36</v>
      </c>
      <c r="O12" s="14" t="s">
        <v>35</v>
      </c>
      <c r="P12" s="14" t="s">
        <v>34</v>
      </c>
      <c r="Q12" s="11" t="s">
        <v>90</v>
      </c>
      <c r="R12" s="11" t="s">
        <v>89</v>
      </c>
      <c r="S12" s="11" t="s">
        <v>33</v>
      </c>
      <c r="T12" s="11" t="s">
        <v>32</v>
      </c>
      <c r="V12">
        <v>1</v>
      </c>
      <c r="W12" t="str">
        <f t="shared" ref="W12:W29" si="2">B12</f>
        <v>Марка</v>
      </c>
      <c r="X12" t="str">
        <f t="shared" ref="X12:X29" si="3">C12</f>
        <v>Audi A4 Avant</v>
      </c>
      <c r="Y12" t="str">
        <f t="shared" ref="Y12:Y29" si="4">D12</f>
        <v>Audi A4 Avant</v>
      </c>
      <c r="Z12" t="s">
        <v>89</v>
      </c>
      <c r="AA12" t="s">
        <v>70</v>
      </c>
    </row>
    <row r="13" spans="1:27" ht="33" customHeight="1" x14ac:dyDescent="0.2">
      <c r="A13">
        <f t="shared" si="1"/>
        <v>3</v>
      </c>
      <c r="B13" s="11" t="s">
        <v>57</v>
      </c>
      <c r="C13" s="14" t="s">
        <v>72</v>
      </c>
      <c r="D13" s="14" t="s">
        <v>73</v>
      </c>
      <c r="E13" s="14" t="s">
        <v>31</v>
      </c>
      <c r="F13" s="14" t="s">
        <v>30</v>
      </c>
      <c r="G13" s="14" t="s">
        <v>29</v>
      </c>
      <c r="H13" s="14" t="s">
        <v>28</v>
      </c>
      <c r="I13" s="14" t="s">
        <v>27</v>
      </c>
      <c r="J13" s="14" t="s">
        <v>26</v>
      </c>
      <c r="K13" s="14" t="s">
        <v>25</v>
      </c>
      <c r="L13" s="14" t="s">
        <v>92</v>
      </c>
      <c r="M13" s="14" t="s">
        <v>24</v>
      </c>
      <c r="N13" s="14" t="s">
        <v>23</v>
      </c>
      <c r="O13" s="14" t="s">
        <v>22</v>
      </c>
      <c r="P13" s="14" t="s">
        <v>21</v>
      </c>
      <c r="Q13" s="11"/>
      <c r="V13">
        <f t="shared" ref="V13:V31" si="5">V12+1</f>
        <v>2</v>
      </c>
      <c r="W13" t="str">
        <f t="shared" si="2"/>
        <v>Модель</v>
      </c>
      <c r="X13" t="str">
        <f t="shared" si="3"/>
        <v>2.0 TDI</v>
      </c>
      <c r="Y13" t="str">
        <f t="shared" si="4"/>
        <v>1.4 TSFI</v>
      </c>
      <c r="AA13" t="s">
        <v>85</v>
      </c>
    </row>
    <row r="14" spans="1:27" x14ac:dyDescent="0.2">
      <c r="A14">
        <f t="shared" si="1"/>
        <v>4</v>
      </c>
      <c r="B14" t="s">
        <v>58</v>
      </c>
      <c r="C14" s="9">
        <v>2017</v>
      </c>
      <c r="D14" s="9">
        <v>2017</v>
      </c>
      <c r="E14" s="9">
        <v>2014</v>
      </c>
      <c r="F14" s="9">
        <v>2014</v>
      </c>
      <c r="G14" s="9">
        <v>2017</v>
      </c>
      <c r="H14" s="9">
        <v>2017</v>
      </c>
      <c r="I14" s="9">
        <v>2014</v>
      </c>
      <c r="J14" s="9">
        <v>2017</v>
      </c>
      <c r="K14" s="9">
        <v>2019</v>
      </c>
      <c r="L14" s="9">
        <v>2014</v>
      </c>
      <c r="M14" s="9">
        <v>2015</v>
      </c>
      <c r="N14" s="9">
        <v>2015</v>
      </c>
      <c r="O14" s="9">
        <v>2023</v>
      </c>
      <c r="P14" s="9">
        <v>2014</v>
      </c>
      <c r="Q14" s="2">
        <f>CORREL($E$30:$P$30,E14:P14)</f>
        <v>-0.33569279171301308</v>
      </c>
      <c r="S14" s="2">
        <f>CORREL(E14:P14,$E$26:$P$26)</f>
        <v>0.17819766820555363</v>
      </c>
      <c r="T14" s="2">
        <f>CORREL(E14:P14,$E$25:$P$25)</f>
        <v>5.3582913688831682E-2</v>
      </c>
      <c r="V14">
        <f t="shared" si="5"/>
        <v>3</v>
      </c>
      <c r="W14" t="str">
        <f t="shared" si="2"/>
        <v>Год</v>
      </c>
      <c r="X14">
        <f t="shared" si="3"/>
        <v>2017</v>
      </c>
      <c r="Y14">
        <f t="shared" si="4"/>
        <v>2017</v>
      </c>
    </row>
    <row r="15" spans="1:27" x14ac:dyDescent="0.2">
      <c r="A15">
        <f t="shared" si="1"/>
        <v>5</v>
      </c>
      <c r="B15" t="s">
        <v>59</v>
      </c>
      <c r="C15" s="15">
        <v>82706</v>
      </c>
      <c r="D15" s="15">
        <v>82000</v>
      </c>
      <c r="E15" s="15">
        <v>119963</v>
      </c>
      <c r="F15" s="15">
        <v>74492</v>
      </c>
      <c r="G15" s="15">
        <v>102810</v>
      </c>
      <c r="H15" s="15">
        <v>24409</v>
      </c>
      <c r="I15" s="15">
        <v>113153</v>
      </c>
      <c r="J15" s="15">
        <v>87850</v>
      </c>
      <c r="K15" s="15">
        <v>77656</v>
      </c>
      <c r="L15" s="15">
        <v>76090</v>
      </c>
      <c r="M15" s="15">
        <v>99621</v>
      </c>
      <c r="N15" s="15">
        <v>119851</v>
      </c>
      <c r="O15" s="15">
        <v>56437</v>
      </c>
      <c r="P15" s="15">
        <v>56489</v>
      </c>
      <c r="Q15" s="2">
        <f>CORREL($E$30:$P$30,E15:P15)</f>
        <v>0.18192746284568653</v>
      </c>
      <c r="V15">
        <f t="shared" si="5"/>
        <v>4</v>
      </c>
      <c r="W15" t="str">
        <f t="shared" si="2"/>
        <v>Пробег (км)</v>
      </c>
      <c r="X15">
        <f t="shared" si="3"/>
        <v>82706</v>
      </c>
      <c r="Y15">
        <f t="shared" si="4"/>
        <v>82000</v>
      </c>
    </row>
    <row r="16" spans="1:27" x14ac:dyDescent="0.2">
      <c r="A16">
        <f t="shared" si="1"/>
        <v>6</v>
      </c>
      <c r="B16" t="s">
        <v>60</v>
      </c>
      <c r="C16" s="9">
        <v>1</v>
      </c>
      <c r="D16" s="9">
        <v>2</v>
      </c>
      <c r="E16" s="9">
        <v>1</v>
      </c>
      <c r="F16" s="9">
        <v>2</v>
      </c>
      <c r="G16" s="9">
        <v>1</v>
      </c>
      <c r="H16" s="9">
        <v>2</v>
      </c>
      <c r="I16" s="9">
        <v>2</v>
      </c>
      <c r="J16" s="9">
        <v>2</v>
      </c>
      <c r="K16" s="9">
        <v>2</v>
      </c>
      <c r="L16" s="9">
        <v>2</v>
      </c>
      <c r="M16" s="9">
        <v>1</v>
      </c>
      <c r="N16" s="9">
        <v>2</v>
      </c>
      <c r="O16" s="9">
        <v>1</v>
      </c>
      <c r="P16" s="9">
        <v>2</v>
      </c>
      <c r="Q16" s="2"/>
      <c r="S16" s="2">
        <f>CORREL(E16:P16,$E$26:$P$26)</f>
        <v>-0.84414327875257167</v>
      </c>
      <c r="T16" s="2">
        <f>CORREL(E16:P16,$E$25:$P$25)</f>
        <v>-0.53010984842037023</v>
      </c>
      <c r="V16">
        <f t="shared" si="5"/>
        <v>5</v>
      </c>
      <c r="W16" t="str">
        <f t="shared" si="2"/>
        <v>Тип (1- Дизель, 2- Бензин)</v>
      </c>
      <c r="X16">
        <f t="shared" si="3"/>
        <v>1</v>
      </c>
      <c r="Y16">
        <f t="shared" si="4"/>
        <v>2</v>
      </c>
    </row>
    <row r="17" spans="1:27" x14ac:dyDescent="0.2">
      <c r="A17">
        <f t="shared" si="1"/>
        <v>7</v>
      </c>
      <c r="B17" t="s">
        <v>74</v>
      </c>
      <c r="C17" s="9" t="s">
        <v>75</v>
      </c>
      <c r="D17" s="9" t="s">
        <v>75</v>
      </c>
      <c r="E17" s="9" t="s">
        <v>76</v>
      </c>
      <c r="F17" s="9" t="s">
        <v>76</v>
      </c>
      <c r="G17" s="9" t="s">
        <v>75</v>
      </c>
      <c r="H17" s="9" t="s">
        <v>75</v>
      </c>
      <c r="I17" s="9" t="s">
        <v>75</v>
      </c>
      <c r="J17" s="9" t="s">
        <v>75</v>
      </c>
      <c r="K17" s="9" t="s">
        <v>75</v>
      </c>
      <c r="L17" s="9" t="s">
        <v>75</v>
      </c>
      <c r="M17" s="9" t="s">
        <v>75</v>
      </c>
      <c r="N17" s="9" t="s">
        <v>75</v>
      </c>
      <c r="O17" s="9" t="s">
        <v>75</v>
      </c>
      <c r="P17" s="9" t="s">
        <v>75</v>
      </c>
      <c r="Q17" s="2"/>
      <c r="V17">
        <f t="shared" si="5"/>
        <v>6</v>
      </c>
      <c r="W17" t="str">
        <f t="shared" si="2"/>
        <v>Передачa</v>
      </c>
      <c r="X17" t="str">
        <f t="shared" si="3"/>
        <v>Ручник</v>
      </c>
      <c r="Y17" t="str">
        <f t="shared" si="4"/>
        <v>Ручник</v>
      </c>
    </row>
    <row r="18" spans="1:27" x14ac:dyDescent="0.2">
      <c r="A18">
        <f t="shared" si="1"/>
        <v>8</v>
      </c>
      <c r="B18" t="s">
        <v>61</v>
      </c>
      <c r="C18" s="9">
        <v>4.3</v>
      </c>
      <c r="D18" s="9">
        <v>5.8</v>
      </c>
      <c r="E18" s="9">
        <v>8.4</v>
      </c>
      <c r="F18" s="9">
        <v>4.5</v>
      </c>
      <c r="G18" s="9">
        <v>5.0999999999999996</v>
      </c>
      <c r="H18" s="9">
        <v>6.1</v>
      </c>
      <c r="I18" s="9">
        <v>5.0999999999999996</v>
      </c>
      <c r="J18" s="9">
        <v>6.4</v>
      </c>
      <c r="K18" s="9">
        <v>7.1</v>
      </c>
      <c r="L18" s="9">
        <v>6.4</v>
      </c>
      <c r="M18" s="9">
        <v>5.5</v>
      </c>
      <c r="N18" s="9">
        <v>5.4</v>
      </c>
      <c r="O18" s="9">
        <v>4.3</v>
      </c>
      <c r="P18" s="9">
        <v>6.5</v>
      </c>
      <c r="Q18" s="2">
        <f t="shared" ref="Q18:Q27" si="6">CORREL($E$30:$P$30,E18:P18)</f>
        <v>0.39906755832021579</v>
      </c>
      <c r="S18" s="2">
        <f>CORREL(E18:P18,$E$26:$P$26)</f>
        <v>-6.436993071831959E-2</v>
      </c>
      <c r="T18" s="2">
        <f t="shared" ref="T18:T23" si="7">CORREL(E18:P18,$E$25:$P$25)</f>
        <v>-0.10556878966215701</v>
      </c>
      <c r="V18">
        <f t="shared" si="5"/>
        <v>7</v>
      </c>
      <c r="W18" t="str">
        <f t="shared" si="2"/>
        <v>Расход топлива литр/100км</v>
      </c>
      <c r="X18">
        <f t="shared" si="3"/>
        <v>4.3</v>
      </c>
      <c r="Y18">
        <f t="shared" si="4"/>
        <v>5.8</v>
      </c>
      <c r="AA18" t="s">
        <v>86</v>
      </c>
    </row>
    <row r="19" spans="1:27" x14ac:dyDescent="0.2">
      <c r="A19">
        <f t="shared" si="1"/>
        <v>9</v>
      </c>
      <c r="B19" t="s">
        <v>62</v>
      </c>
      <c r="C19" s="9">
        <v>110</v>
      </c>
      <c r="D19" s="9">
        <v>110</v>
      </c>
      <c r="E19" s="9">
        <v>85</v>
      </c>
      <c r="F19" s="9">
        <v>110</v>
      </c>
      <c r="G19" s="9">
        <v>140</v>
      </c>
      <c r="H19" s="9">
        <v>92</v>
      </c>
      <c r="I19" s="9">
        <v>51</v>
      </c>
      <c r="J19" s="9">
        <v>81</v>
      </c>
      <c r="K19" s="9">
        <v>88</v>
      </c>
      <c r="L19" s="9">
        <v>140</v>
      </c>
      <c r="M19" s="9">
        <v>110</v>
      </c>
      <c r="N19" s="9">
        <v>115</v>
      </c>
      <c r="O19" s="9">
        <v>85</v>
      </c>
      <c r="P19" s="9">
        <v>118</v>
      </c>
      <c r="Q19" s="2">
        <f t="shared" si="6"/>
        <v>0.76242554711786381</v>
      </c>
      <c r="S19" s="2">
        <f>CORREL(E19:P19,$E$26:$P$26)</f>
        <v>0.35696739334459282</v>
      </c>
      <c r="T19" s="2">
        <f t="shared" si="7"/>
        <v>0.51593494483312263</v>
      </c>
      <c r="V19">
        <f t="shared" si="5"/>
        <v>8</v>
      </c>
      <c r="W19" t="str">
        <f t="shared" si="2"/>
        <v>Мощность (kW)</v>
      </c>
      <c r="X19">
        <f t="shared" si="3"/>
        <v>110</v>
      </c>
      <c r="Y19">
        <f t="shared" si="4"/>
        <v>110</v>
      </c>
    </row>
    <row r="20" spans="1:27" x14ac:dyDescent="0.2">
      <c r="A20">
        <f t="shared" si="1"/>
        <v>10</v>
      </c>
      <c r="B20" t="s">
        <v>63</v>
      </c>
      <c r="C20" s="9">
        <v>1968</v>
      </c>
      <c r="D20" s="9">
        <v>1395</v>
      </c>
      <c r="E20" s="9">
        <v>1995</v>
      </c>
      <c r="F20" s="9">
        <v>1995</v>
      </c>
      <c r="G20" s="9">
        <v>1995</v>
      </c>
      <c r="H20" s="9">
        <v>1197</v>
      </c>
      <c r="I20" s="9">
        <v>1242</v>
      </c>
      <c r="J20" s="9">
        <v>1598</v>
      </c>
      <c r="K20" s="9">
        <v>1368</v>
      </c>
      <c r="L20" s="9">
        <v>1598</v>
      </c>
      <c r="M20" s="9">
        <v>2191</v>
      </c>
      <c r="N20" s="9">
        <v>1595</v>
      </c>
      <c r="O20" s="9">
        <v>1968</v>
      </c>
      <c r="P20" s="9">
        <v>1390</v>
      </c>
      <c r="Q20" s="2">
        <f t="shared" si="6"/>
        <v>0.40125906189247534</v>
      </c>
      <c r="S20" s="2">
        <f>CORREL(E20:P20,$E$26:$P$26)</f>
        <v>0.89456948446146245</v>
      </c>
      <c r="T20" s="2">
        <f t="shared" si="7"/>
        <v>0.66763773230756274</v>
      </c>
      <c r="V20">
        <f t="shared" si="5"/>
        <v>9</v>
      </c>
      <c r="W20" t="str">
        <f t="shared" si="2"/>
        <v>Oбьём мотора (kcm)</v>
      </c>
      <c r="X20">
        <f t="shared" si="3"/>
        <v>1968</v>
      </c>
      <c r="Y20">
        <f t="shared" si="4"/>
        <v>1395</v>
      </c>
    </row>
    <row r="21" spans="1:27" x14ac:dyDescent="0.2">
      <c r="A21">
        <f t="shared" si="1"/>
        <v>11</v>
      </c>
      <c r="B21" t="s">
        <v>20</v>
      </c>
      <c r="C21" s="9">
        <v>139</v>
      </c>
      <c r="D21" s="9">
        <v>139</v>
      </c>
      <c r="E21" s="9">
        <v>123</v>
      </c>
      <c r="F21" s="9">
        <v>185</v>
      </c>
      <c r="G21" s="9">
        <v>142</v>
      </c>
      <c r="H21" s="9">
        <v>138</v>
      </c>
      <c r="I21" s="9">
        <v>119</v>
      </c>
      <c r="J21" s="9">
        <v>147</v>
      </c>
      <c r="K21" s="9">
        <v>163</v>
      </c>
      <c r="L21" s="9">
        <v>153</v>
      </c>
      <c r="M21" s="9">
        <v>136</v>
      </c>
      <c r="N21" s="9">
        <v>125</v>
      </c>
      <c r="O21" s="9">
        <v>114</v>
      </c>
      <c r="P21" s="9">
        <v>152</v>
      </c>
      <c r="Q21" s="2">
        <f t="shared" si="6"/>
        <v>0.20194329858798027</v>
      </c>
      <c r="S21" s="2">
        <f>CORREL(E21:P21,$E$26:$P$26)</f>
        <v>8.286738739194531E-2</v>
      </c>
      <c r="T21" s="2">
        <f t="shared" si="7"/>
        <v>0.28650572445682476</v>
      </c>
      <c r="V21">
        <f t="shared" si="5"/>
        <v>10</v>
      </c>
      <c r="W21" t="str">
        <f t="shared" si="2"/>
        <v>Co2 g/km</v>
      </c>
      <c r="X21">
        <f t="shared" si="3"/>
        <v>139</v>
      </c>
      <c r="Y21">
        <f t="shared" si="4"/>
        <v>139</v>
      </c>
    </row>
    <row r="22" spans="1:27" x14ac:dyDescent="0.2">
      <c r="A22">
        <f t="shared" si="1"/>
        <v>12</v>
      </c>
      <c r="B22" t="s">
        <v>78</v>
      </c>
      <c r="C22" s="15">
        <v>20900</v>
      </c>
      <c r="D22" s="15">
        <v>19990</v>
      </c>
      <c r="E22" s="15">
        <v>14380</v>
      </c>
      <c r="F22" s="15">
        <v>14450</v>
      </c>
      <c r="G22" s="15">
        <v>20540</v>
      </c>
      <c r="H22" s="15">
        <v>13600</v>
      </c>
      <c r="I22" s="15">
        <v>7100</v>
      </c>
      <c r="J22" s="15">
        <v>10910</v>
      </c>
      <c r="K22" s="15">
        <v>13410</v>
      </c>
      <c r="L22" s="15">
        <v>14840</v>
      </c>
      <c r="M22" s="15">
        <v>14120</v>
      </c>
      <c r="N22" s="15">
        <v>14950</v>
      </c>
      <c r="O22" s="15">
        <v>21490</v>
      </c>
      <c r="P22" s="15">
        <v>13040</v>
      </c>
      <c r="Q22" s="2">
        <f t="shared" si="6"/>
        <v>0.3630962564033941</v>
      </c>
      <c r="T22" s="2">
        <f t="shared" si="7"/>
        <v>0.51999280963754757</v>
      </c>
      <c r="U22" t="s">
        <v>19</v>
      </c>
      <c r="V22">
        <f t="shared" si="5"/>
        <v>11</v>
      </c>
      <c r="W22" t="str">
        <f t="shared" si="2"/>
        <v>Цена покупки €</v>
      </c>
      <c r="X22" s="4">
        <f t="shared" si="3"/>
        <v>20900</v>
      </c>
      <c r="Y22" s="4">
        <f t="shared" si="4"/>
        <v>19990</v>
      </c>
      <c r="AA22" t="s">
        <v>81</v>
      </c>
    </row>
    <row r="23" spans="1:27" x14ac:dyDescent="0.2">
      <c r="A23">
        <f t="shared" si="1"/>
        <v>13</v>
      </c>
      <c r="B23" t="s">
        <v>64</v>
      </c>
      <c r="C23" s="9">
        <v>1</v>
      </c>
      <c r="D23" s="9">
        <v>1.1000000000000001</v>
      </c>
      <c r="E23" s="9">
        <v>1.7</v>
      </c>
      <c r="F23" s="9">
        <v>1.65</v>
      </c>
      <c r="G23" s="9">
        <v>1.4</v>
      </c>
      <c r="H23" s="9">
        <v>1</v>
      </c>
      <c r="I23" s="9">
        <v>1</v>
      </c>
      <c r="J23" s="9">
        <v>1.1000000000000001</v>
      </c>
      <c r="K23" s="9">
        <v>1.1000000000000001</v>
      </c>
      <c r="L23" s="9">
        <v>1.5</v>
      </c>
      <c r="M23" s="9">
        <v>1.55</v>
      </c>
      <c r="N23" s="9">
        <v>1.6</v>
      </c>
      <c r="O23" s="9">
        <v>1</v>
      </c>
      <c r="P23" s="9">
        <v>1.1000000000000001</v>
      </c>
      <c r="Q23" s="2">
        <f t="shared" si="6"/>
        <v>0.75725237555447511</v>
      </c>
      <c r="T23" s="2">
        <f t="shared" si="7"/>
        <v>0.3293031299160305</v>
      </c>
      <c r="V23">
        <f t="shared" si="5"/>
        <v>12</v>
      </c>
      <c r="W23" t="str">
        <f t="shared" si="2"/>
        <v>Множитель Починки</v>
      </c>
      <c r="X23">
        <f t="shared" si="3"/>
        <v>1</v>
      </c>
      <c r="Y23">
        <f t="shared" si="4"/>
        <v>1.1000000000000001</v>
      </c>
    </row>
    <row r="24" spans="1:27" x14ac:dyDescent="0.2">
      <c r="A24">
        <f t="shared" si="1"/>
        <v>14</v>
      </c>
      <c r="B24" t="s">
        <v>77</v>
      </c>
      <c r="C24" s="4">
        <f t="shared" ref="C24:P24" si="8">C23*$C$4+$C$5/2</f>
        <v>410</v>
      </c>
      <c r="D24" s="4">
        <f t="shared" si="8"/>
        <v>443.6</v>
      </c>
      <c r="E24" s="4">
        <f t="shared" si="8"/>
        <v>645.19999999999993</v>
      </c>
      <c r="F24" s="4">
        <f t="shared" si="8"/>
        <v>628.4</v>
      </c>
      <c r="G24" s="4">
        <f t="shared" si="8"/>
        <v>544.4</v>
      </c>
      <c r="H24" s="4">
        <f t="shared" si="8"/>
        <v>410</v>
      </c>
      <c r="I24" s="4">
        <f t="shared" si="8"/>
        <v>410</v>
      </c>
      <c r="J24" s="4">
        <f t="shared" si="8"/>
        <v>443.6</v>
      </c>
      <c r="K24" s="4">
        <f t="shared" si="8"/>
        <v>443.6</v>
      </c>
      <c r="L24" s="4">
        <f t="shared" si="8"/>
        <v>578</v>
      </c>
      <c r="M24" s="4">
        <f t="shared" si="8"/>
        <v>594.80000000000007</v>
      </c>
      <c r="N24" s="4">
        <f t="shared" si="8"/>
        <v>611.6</v>
      </c>
      <c r="O24" s="4">
        <f t="shared" si="8"/>
        <v>410</v>
      </c>
      <c r="P24" s="4">
        <f t="shared" si="8"/>
        <v>443.6</v>
      </c>
      <c r="Q24" s="2">
        <f t="shared" si="6"/>
        <v>0.75725237555447533</v>
      </c>
      <c r="R24" s="2">
        <f>AVERAGE(C24:P24)/(AVERAGE($C$30:$P$30))</f>
        <v>0.13225772463107865</v>
      </c>
      <c r="T24" s="2"/>
      <c r="V24">
        <f t="shared" si="5"/>
        <v>13</v>
      </c>
      <c r="W24" t="str">
        <f t="shared" si="2"/>
        <v>Починка+Инспекция</v>
      </c>
      <c r="X24" s="4">
        <f t="shared" si="3"/>
        <v>410</v>
      </c>
      <c r="Y24" s="4">
        <f t="shared" si="4"/>
        <v>443.6</v>
      </c>
      <c r="Z24" s="2">
        <f>(X24)/$X$30</f>
        <v>0.11843412751600305</v>
      </c>
      <c r="AA24" t="s">
        <v>151</v>
      </c>
    </row>
    <row r="25" spans="1:27" x14ac:dyDescent="0.2">
      <c r="A25">
        <f t="shared" si="1"/>
        <v>15</v>
      </c>
      <c r="B25" t="s">
        <v>65</v>
      </c>
      <c r="C25" s="4">
        <v>701.88</v>
      </c>
      <c r="D25" s="4">
        <v>713.5</v>
      </c>
      <c r="E25" s="4">
        <v>663.64</v>
      </c>
      <c r="F25" s="4">
        <v>724.59</v>
      </c>
      <c r="G25" s="4">
        <v>837.15</v>
      </c>
      <c r="H25" s="4">
        <v>653.91</v>
      </c>
      <c r="I25" s="4">
        <v>451</v>
      </c>
      <c r="J25" s="4">
        <v>708.72</v>
      </c>
      <c r="K25" s="4">
        <v>554.49</v>
      </c>
      <c r="L25" s="4">
        <v>585.9</v>
      </c>
      <c r="M25" s="4">
        <v>757.02</v>
      </c>
      <c r="N25" s="4">
        <v>552.94000000000005</v>
      </c>
      <c r="O25" s="4">
        <v>631.58000000000004</v>
      </c>
      <c r="P25" s="4">
        <v>654.19000000000005</v>
      </c>
      <c r="Q25" s="2">
        <f t="shared" si="6"/>
        <v>0.3594482248976042</v>
      </c>
      <c r="R25" s="2">
        <f>AVERAGE(C25:P25)/(AVERAGE($C$30:$P$30))</f>
        <v>0.17322938387857351</v>
      </c>
      <c r="U25" t="s">
        <v>18</v>
      </c>
      <c r="V25">
        <f t="shared" si="5"/>
        <v>14</v>
      </c>
      <c r="W25" t="str">
        <f t="shared" si="2"/>
        <v>Страховка/год</v>
      </c>
      <c r="X25" s="4">
        <f t="shared" si="3"/>
        <v>701.88</v>
      </c>
      <c r="Y25" s="4">
        <f t="shared" si="4"/>
        <v>713.5</v>
      </c>
      <c r="Z25" s="2">
        <f>(X25)/$X$30</f>
        <v>0.20274767175837127</v>
      </c>
      <c r="AA25" t="s">
        <v>82</v>
      </c>
    </row>
    <row r="26" spans="1:27" x14ac:dyDescent="0.2">
      <c r="A26">
        <f t="shared" si="1"/>
        <v>16</v>
      </c>
      <c r="B26" t="s">
        <v>66</v>
      </c>
      <c r="C26" s="4">
        <f>220</f>
        <v>220</v>
      </c>
      <c r="D26" s="4">
        <f>116</f>
        <v>116</v>
      </c>
      <c r="E26" s="4">
        <f>246</f>
        <v>246</v>
      </c>
      <c r="F26" s="4">
        <f>220</f>
        <v>220</v>
      </c>
      <c r="G26" s="4">
        <f>284</f>
        <v>284</v>
      </c>
      <c r="H26" s="4">
        <f>110</f>
        <v>110</v>
      </c>
      <c r="I26" s="4">
        <f>74</f>
        <v>74</v>
      </c>
      <c r="J26" s="4">
        <f>136</f>
        <v>136</v>
      </c>
      <c r="K26" s="4">
        <f>164</f>
        <v>164</v>
      </c>
      <c r="L26" s="4">
        <f>148</f>
        <v>148</v>
      </c>
      <c r="M26" s="4">
        <f>291</f>
        <v>291</v>
      </c>
      <c r="N26" s="4">
        <f>92</f>
        <v>92</v>
      </c>
      <c r="O26" s="4">
        <f>228</f>
        <v>228</v>
      </c>
      <c r="P26" s="4">
        <f>142</f>
        <v>142</v>
      </c>
      <c r="Q26" s="2">
        <f t="shared" si="6"/>
        <v>0.40291244918316182</v>
      </c>
      <c r="R26" s="2">
        <f>AVERAGE(C26:P26)/(AVERAGE($C$30:$P$30))</f>
        <v>4.657519632359413E-2</v>
      </c>
      <c r="T26" s="2">
        <f>CORREL(E26:P26,$E$25:$P$25)</f>
        <v>0.76634735795140785</v>
      </c>
      <c r="U26" t="s">
        <v>16</v>
      </c>
      <c r="V26">
        <f t="shared" si="5"/>
        <v>15</v>
      </c>
      <c r="W26" t="str">
        <f t="shared" si="2"/>
        <v>KfZ steuer/год (налог)</v>
      </c>
      <c r="X26" s="4">
        <f t="shared" si="3"/>
        <v>220</v>
      </c>
      <c r="Y26" s="4">
        <f t="shared" si="4"/>
        <v>116</v>
      </c>
      <c r="Z26" s="2">
        <f>(X26)/$X$30</f>
        <v>6.3550019642733338E-2</v>
      </c>
      <c r="AA26" t="s">
        <v>83</v>
      </c>
    </row>
    <row r="27" spans="1:27" x14ac:dyDescent="0.2">
      <c r="A27">
        <f t="shared" si="1"/>
        <v>17</v>
      </c>
      <c r="B27" t="s">
        <v>67</v>
      </c>
      <c r="C27" s="4">
        <v>6410</v>
      </c>
      <c r="D27" s="4">
        <v>5090</v>
      </c>
      <c r="E27" s="4">
        <f>E22-7990</f>
        <v>6390</v>
      </c>
      <c r="F27" s="4">
        <f>F22-7950</f>
        <v>6500</v>
      </c>
      <c r="G27" s="4">
        <f>G22-12990</f>
        <v>7550</v>
      </c>
      <c r="H27" s="4">
        <f>H22-6950</f>
        <v>6650</v>
      </c>
      <c r="I27" s="4">
        <f>I22-4200</f>
        <v>2900</v>
      </c>
      <c r="J27" s="4">
        <f>J22-7500</f>
        <v>3410</v>
      </c>
      <c r="K27" s="4">
        <f>K22-6999</f>
        <v>6411</v>
      </c>
      <c r="L27" s="4">
        <f>L22-4250</f>
        <v>10590</v>
      </c>
      <c r="M27" s="4">
        <f>M22-5800</f>
        <v>8320</v>
      </c>
      <c r="N27" s="4">
        <f>N22-4800</f>
        <v>10150</v>
      </c>
      <c r="O27" s="4">
        <f>O22-16300</f>
        <v>5190</v>
      </c>
      <c r="P27" s="4">
        <f>P22-6490</f>
        <v>6550</v>
      </c>
      <c r="Q27" s="2">
        <f t="shared" si="6"/>
        <v>0.87996322870690691</v>
      </c>
      <c r="R27" s="2">
        <f>AVERAGE(E27:P27)/(AVERAGE($E$30:$P$30)*5)</f>
        <v>0.34928827060687495</v>
      </c>
      <c r="T27" t="s">
        <v>12</v>
      </c>
      <c r="U27" t="s">
        <v>17</v>
      </c>
      <c r="V27">
        <f t="shared" si="5"/>
        <v>16</v>
      </c>
      <c r="W27" t="str">
        <f t="shared" si="2"/>
        <v>Трата в цене за 5 лет</v>
      </c>
      <c r="X27" s="4">
        <f t="shared" si="3"/>
        <v>6410</v>
      </c>
      <c r="Y27" s="4">
        <f t="shared" si="4"/>
        <v>5090</v>
      </c>
      <c r="Z27" s="2">
        <f>X27/5/$X$30</f>
        <v>0.37032329628174609</v>
      </c>
      <c r="AA27" t="s">
        <v>84</v>
      </c>
    </row>
    <row r="28" spans="1:27" x14ac:dyDescent="0.2">
      <c r="A28">
        <f t="shared" si="1"/>
        <v>18</v>
      </c>
      <c r="B28" t="s">
        <v>91</v>
      </c>
      <c r="C28" s="5">
        <f t="shared" ref="C28:P28" si="9">SUM(C24:C26,C27/5)</f>
        <v>2613.88</v>
      </c>
      <c r="D28" s="5">
        <f t="shared" si="9"/>
        <v>2291.1</v>
      </c>
      <c r="E28" s="5">
        <f t="shared" si="9"/>
        <v>2832.84</v>
      </c>
      <c r="F28" s="5">
        <f t="shared" si="9"/>
        <v>2872.99</v>
      </c>
      <c r="G28" s="5">
        <f t="shared" si="9"/>
        <v>3175.55</v>
      </c>
      <c r="H28" s="5">
        <f t="shared" si="9"/>
        <v>2503.91</v>
      </c>
      <c r="I28" s="5">
        <f t="shared" si="9"/>
        <v>1515</v>
      </c>
      <c r="J28" s="5">
        <f t="shared" si="9"/>
        <v>1970.3200000000002</v>
      </c>
      <c r="K28" s="5">
        <f t="shared" si="9"/>
        <v>2444.29</v>
      </c>
      <c r="L28" s="5">
        <f t="shared" si="9"/>
        <v>3429.9</v>
      </c>
      <c r="M28" s="5">
        <f t="shared" si="9"/>
        <v>3306.82</v>
      </c>
      <c r="N28" s="5">
        <f t="shared" si="9"/>
        <v>3286.54</v>
      </c>
      <c r="O28" s="5">
        <f t="shared" si="9"/>
        <v>2307.58</v>
      </c>
      <c r="P28" s="5">
        <f t="shared" si="9"/>
        <v>2549.79</v>
      </c>
      <c r="Q28" s="2"/>
      <c r="V28">
        <f t="shared" si="5"/>
        <v>17</v>
      </c>
      <c r="W28" t="str">
        <f t="shared" si="2"/>
        <v>ГСМ без топлива</v>
      </c>
      <c r="X28" s="4">
        <f t="shared" si="3"/>
        <v>2613.88</v>
      </c>
      <c r="Y28" s="4">
        <f t="shared" si="4"/>
        <v>2291.1</v>
      </c>
      <c r="AA28" t="s">
        <v>79</v>
      </c>
    </row>
    <row r="29" spans="1:27" x14ac:dyDescent="0.2">
      <c r="A29">
        <f t="shared" si="1"/>
        <v>19</v>
      </c>
      <c r="B29" t="s">
        <v>68</v>
      </c>
      <c r="C29" s="6">
        <f t="shared" ref="C29:P29" si="10">10*$C$7*C18*$C$3</f>
        <v>847.95999999999992</v>
      </c>
      <c r="D29" s="6">
        <f t="shared" si="10"/>
        <v>1143.76</v>
      </c>
      <c r="E29" s="6">
        <f t="shared" si="10"/>
        <v>1656.48</v>
      </c>
      <c r="F29" s="6">
        <f t="shared" si="10"/>
        <v>887.4</v>
      </c>
      <c r="G29" s="6">
        <f t="shared" si="10"/>
        <v>1005.7199999999998</v>
      </c>
      <c r="H29" s="6">
        <f t="shared" si="10"/>
        <v>1202.9199999999998</v>
      </c>
      <c r="I29" s="6">
        <f t="shared" si="10"/>
        <v>1005.7199999999998</v>
      </c>
      <c r="J29" s="6">
        <f t="shared" si="10"/>
        <v>1262.0800000000002</v>
      </c>
      <c r="K29" s="6">
        <f t="shared" si="10"/>
        <v>1400.12</v>
      </c>
      <c r="L29" s="6">
        <f t="shared" si="10"/>
        <v>1262.0800000000002</v>
      </c>
      <c r="M29" s="6">
        <f t="shared" si="10"/>
        <v>1084.5999999999999</v>
      </c>
      <c r="N29" s="6">
        <f t="shared" si="10"/>
        <v>1064.8800000000001</v>
      </c>
      <c r="O29" s="6">
        <f t="shared" si="10"/>
        <v>847.95999999999992</v>
      </c>
      <c r="P29" s="6">
        <f t="shared" si="10"/>
        <v>1281.8</v>
      </c>
      <c r="Q29" s="2">
        <f>CORREL($E$30:$P$30,E29:P29)</f>
        <v>0.39906755832021584</v>
      </c>
      <c r="R29" s="2">
        <f>AVERAGE(C29:P29)/(AVERAGE($C$30:$P$30))</f>
        <v>0.30070273696662586</v>
      </c>
      <c r="V29">
        <f t="shared" si="5"/>
        <v>18</v>
      </c>
      <c r="W29" t="str">
        <f t="shared" si="2"/>
        <v>Топливо/год</v>
      </c>
      <c r="X29" s="4">
        <f t="shared" si="3"/>
        <v>847.95999999999992</v>
      </c>
      <c r="Y29" s="4">
        <f t="shared" si="4"/>
        <v>1143.76</v>
      </c>
      <c r="Z29" s="2">
        <f>(X29)/$X$30</f>
        <v>0.24494488480114618</v>
      </c>
      <c r="AA29" t="s">
        <v>80</v>
      </c>
    </row>
    <row r="30" spans="1:27" x14ac:dyDescent="0.2">
      <c r="A30">
        <f t="shared" si="1"/>
        <v>20</v>
      </c>
      <c r="B30" t="s">
        <v>88</v>
      </c>
      <c r="C30" s="5">
        <f t="shared" ref="C30:P30" si="11">C28+C29</f>
        <v>3461.84</v>
      </c>
      <c r="D30" s="5">
        <f t="shared" si="11"/>
        <v>3434.8599999999997</v>
      </c>
      <c r="E30" s="5">
        <f t="shared" si="11"/>
        <v>4489.32</v>
      </c>
      <c r="F30" s="5">
        <f t="shared" si="11"/>
        <v>3760.39</v>
      </c>
      <c r="G30" s="5">
        <f t="shared" si="11"/>
        <v>4181.2700000000004</v>
      </c>
      <c r="H30" s="5">
        <f t="shared" si="11"/>
        <v>3706.83</v>
      </c>
      <c r="I30" s="5">
        <f t="shared" si="11"/>
        <v>2520.7199999999998</v>
      </c>
      <c r="J30" s="5">
        <f t="shared" si="11"/>
        <v>3232.4000000000005</v>
      </c>
      <c r="K30" s="5">
        <f t="shared" si="11"/>
        <v>3844.41</v>
      </c>
      <c r="L30" s="5">
        <f t="shared" si="11"/>
        <v>4691.9800000000005</v>
      </c>
      <c r="M30" s="5">
        <f t="shared" si="11"/>
        <v>4391.42</v>
      </c>
      <c r="N30" s="5">
        <f t="shared" si="11"/>
        <v>4351.42</v>
      </c>
      <c r="O30" s="5">
        <f t="shared" si="11"/>
        <v>3155.54</v>
      </c>
      <c r="P30" s="5">
        <f t="shared" si="11"/>
        <v>3831.59</v>
      </c>
      <c r="V30">
        <f t="shared" si="5"/>
        <v>19</v>
      </c>
      <c r="W30" t="s">
        <v>87</v>
      </c>
      <c r="X30" s="4">
        <f>C30</f>
        <v>3461.84</v>
      </c>
      <c r="Y30" s="4">
        <f>D30</f>
        <v>3434.8599999999997</v>
      </c>
      <c r="Z30" s="2">
        <f>(X30)/$X$30</f>
        <v>1</v>
      </c>
    </row>
    <row r="31" spans="1:27" x14ac:dyDescent="0.2">
      <c r="A31">
        <f t="shared" si="1"/>
        <v>21</v>
      </c>
      <c r="B31" t="s">
        <v>69</v>
      </c>
      <c r="C31" s="5">
        <f t="shared" ref="C31:P31" si="12">C30/12</f>
        <v>288.48666666666668</v>
      </c>
      <c r="D31" s="5">
        <f t="shared" si="12"/>
        <v>286.23833333333329</v>
      </c>
      <c r="E31" s="5">
        <f t="shared" si="12"/>
        <v>374.10999999999996</v>
      </c>
      <c r="F31" s="5">
        <f t="shared" si="12"/>
        <v>313.36583333333334</v>
      </c>
      <c r="G31" s="5">
        <f t="shared" si="12"/>
        <v>348.43916666666672</v>
      </c>
      <c r="H31" s="5">
        <f t="shared" si="12"/>
        <v>308.90249999999997</v>
      </c>
      <c r="I31" s="5">
        <f t="shared" si="12"/>
        <v>210.05999999999997</v>
      </c>
      <c r="J31" s="5">
        <f t="shared" si="12"/>
        <v>269.36666666666673</v>
      </c>
      <c r="K31" s="5">
        <f t="shared" si="12"/>
        <v>320.36750000000001</v>
      </c>
      <c r="L31" s="5">
        <f t="shared" si="12"/>
        <v>390.99833333333339</v>
      </c>
      <c r="M31" s="5">
        <f t="shared" si="12"/>
        <v>365.95166666666665</v>
      </c>
      <c r="N31" s="5">
        <f t="shared" si="12"/>
        <v>362.61833333333334</v>
      </c>
      <c r="O31" s="5">
        <f t="shared" si="12"/>
        <v>262.96166666666664</v>
      </c>
      <c r="P31" s="5">
        <f t="shared" si="12"/>
        <v>319.29916666666668</v>
      </c>
      <c r="V31">
        <f t="shared" si="5"/>
        <v>20</v>
      </c>
      <c r="W31" t="str">
        <f>B31</f>
        <v>Стоимость/месяц</v>
      </c>
      <c r="X31" s="4">
        <f>C31</f>
        <v>288.48666666666668</v>
      </c>
      <c r="Y31" s="4">
        <f>D31</f>
        <v>286.23833333333329</v>
      </c>
    </row>
    <row r="33" spans="2:21" x14ac:dyDescent="0.2">
      <c r="B33" t="s">
        <v>15</v>
      </c>
      <c r="C33" s="9">
        <v>7</v>
      </c>
    </row>
    <row r="34" spans="2:21" x14ac:dyDescent="0.2">
      <c r="B34" t="s">
        <v>93</v>
      </c>
      <c r="C34" s="4" t="str">
        <f>_xlfn.CONCAT(INDEX($C$11:$P$31,2,$C$33)," ",INDEX($C$11:$P$31,3,$C$33))</f>
        <v>Fiat 1.2 500 lounge</v>
      </c>
    </row>
    <row r="35" spans="2:21" x14ac:dyDescent="0.2">
      <c r="B35" t="str">
        <f>B22</f>
        <v>Цена покупки €</v>
      </c>
      <c r="C35" s="4" cm="1">
        <f t="array" ref="C35">INDEX($C$11:$P$31,12,$C$33)</f>
        <v>7100</v>
      </c>
      <c r="J35" s="1"/>
      <c r="S35" s="6"/>
      <c r="T35" s="6"/>
      <c r="U35" s="6"/>
    </row>
    <row r="36" spans="2:21" x14ac:dyDescent="0.2">
      <c r="B36" t="s">
        <v>94</v>
      </c>
      <c r="C36" s="10">
        <v>7.6999999999999999E-2</v>
      </c>
      <c r="D36" t="s">
        <v>14</v>
      </c>
      <c r="J36" s="1"/>
      <c r="T36" s="6"/>
    </row>
    <row r="37" spans="2:21" x14ac:dyDescent="0.2">
      <c r="B37" t="s">
        <v>95</v>
      </c>
      <c r="C37" s="9">
        <f>12*C6</f>
        <v>60</v>
      </c>
      <c r="J37" s="1"/>
    </row>
    <row r="38" spans="2:21" x14ac:dyDescent="0.2">
      <c r="B38" t="s">
        <v>96</v>
      </c>
      <c r="C38" s="8">
        <f>PMT(C36/12,C37,C35)</f>
        <v>-142.94517778871017</v>
      </c>
      <c r="T38" s="7"/>
    </row>
    <row r="39" spans="2:21" x14ac:dyDescent="0.2">
      <c r="B39" t="s">
        <v>97</v>
      </c>
      <c r="C39" s="10">
        <v>3.5000000000000003E-2</v>
      </c>
      <c r="D39" s="13" t="s">
        <v>13</v>
      </c>
      <c r="E39" t="s">
        <v>12</v>
      </c>
      <c r="T39" s="6"/>
    </row>
    <row r="40" spans="2:21" x14ac:dyDescent="0.2">
      <c r="B40" t="s">
        <v>98</v>
      </c>
      <c r="C40" s="16">
        <v>0.04</v>
      </c>
      <c r="R40" s="7"/>
    </row>
    <row r="41" spans="2:21" x14ac:dyDescent="0.2">
      <c r="T41" s="6"/>
    </row>
    <row r="42" spans="2:21" ht="17" customHeight="1" x14ac:dyDescent="0.2">
      <c r="C42">
        <v>2024</v>
      </c>
      <c r="D42">
        <f>C42+1</f>
        <v>2025</v>
      </c>
      <c r="E42">
        <f>D42+1</f>
        <v>2026</v>
      </c>
      <c r="F42">
        <f>E42+1</f>
        <v>2027</v>
      </c>
      <c r="G42">
        <f>F42+1</f>
        <v>2028</v>
      </c>
      <c r="H42" t="s">
        <v>11</v>
      </c>
      <c r="I42" t="s">
        <v>10</v>
      </c>
      <c r="J42" t="s">
        <v>9</v>
      </c>
    </row>
    <row r="43" spans="2:21" x14ac:dyDescent="0.2">
      <c r="B43" t="s">
        <v>99</v>
      </c>
      <c r="C43" s="5" cm="1">
        <f t="array" ref="C43">INDEX($C$11:$P$31,17,$C$33)/5</f>
        <v>580</v>
      </c>
      <c r="D43" s="5" cm="1">
        <f t="array" ref="D43">INDEX($C$11:$P$31,17,$C$33)/5</f>
        <v>580</v>
      </c>
      <c r="E43" s="5" cm="1">
        <f t="array" ref="E43">INDEX($C$11:$P$31,17,$C$33)/5</f>
        <v>580</v>
      </c>
      <c r="F43" s="5" cm="1">
        <f t="array" ref="F43">INDEX($C$11:$P$31,17,$C$33)/5</f>
        <v>580</v>
      </c>
      <c r="G43" s="5" cm="1">
        <f t="array" ref="G43">INDEX($C$11:$P$31,17,$C$33)/5</f>
        <v>580</v>
      </c>
      <c r="H43" s="4">
        <f t="shared" ref="H43:H53" si="13">SUM(C43:G43)</f>
        <v>2900</v>
      </c>
      <c r="I43" s="4">
        <f t="shared" ref="I43:I54" si="14">H43/5</f>
        <v>580</v>
      </c>
      <c r="J43" s="3">
        <f t="shared" ref="J43:J50" si="15">I43/12</f>
        <v>48.333333333333336</v>
      </c>
    </row>
    <row r="44" spans="2:21" x14ac:dyDescent="0.2">
      <c r="B44" t="str">
        <f>B29</f>
        <v>Топливо/год</v>
      </c>
      <c r="C44" s="4" cm="1">
        <f t="array" ref="C44">INDEX($C$11:$P$31,19,$C$33)</f>
        <v>1005.7199999999998</v>
      </c>
      <c r="D44" s="4" cm="1">
        <f t="array" ref="D44">INDEX($C$11:$P$31,19,$C$33)</f>
        <v>1005.7199999999998</v>
      </c>
      <c r="E44" s="4" cm="1">
        <f t="array" ref="E44">INDEX($C$11:$P$31,19,$C$33)</f>
        <v>1005.7199999999998</v>
      </c>
      <c r="F44" s="4" cm="1">
        <f t="array" ref="F44">INDEX($C$11:$P$31,19,$C$33)</f>
        <v>1005.7199999999998</v>
      </c>
      <c r="G44" s="4" cm="1">
        <f t="array" ref="G44">INDEX($C$11:$P$31,19,$C$33)</f>
        <v>1005.7199999999998</v>
      </c>
      <c r="H44" s="4">
        <f t="shared" si="13"/>
        <v>5028.5999999999985</v>
      </c>
      <c r="I44" s="4">
        <f t="shared" si="14"/>
        <v>1005.7199999999997</v>
      </c>
      <c r="J44" s="3">
        <f t="shared" si="15"/>
        <v>83.809999999999974</v>
      </c>
    </row>
    <row r="45" spans="2:21" x14ac:dyDescent="0.2">
      <c r="B45" t="str">
        <f>B25</f>
        <v>Страховка/год</v>
      </c>
      <c r="C45" s="4" cm="1">
        <f t="array" ref="C45">INDEX($C$11:$P$31,15,$C$33)</f>
        <v>451</v>
      </c>
      <c r="D45" s="4" cm="1">
        <f t="array" ref="D45">INDEX($C$11:$P$31,15,$C$33)</f>
        <v>451</v>
      </c>
      <c r="E45" s="4" cm="1">
        <f t="array" ref="E45">INDEX($C$11:$P$31,15,$C$33)</f>
        <v>451</v>
      </c>
      <c r="F45" s="4" cm="1">
        <f t="array" ref="F45">INDEX($C$11:$P$31,15,$C$33)</f>
        <v>451</v>
      </c>
      <c r="G45" s="4" cm="1">
        <f t="array" ref="G45">INDEX($C$11:$P$31,15,$C$33)</f>
        <v>451</v>
      </c>
      <c r="H45" s="4">
        <f t="shared" si="13"/>
        <v>2255</v>
      </c>
      <c r="I45" s="4">
        <f t="shared" si="14"/>
        <v>451</v>
      </c>
      <c r="J45" s="3">
        <f t="shared" si="15"/>
        <v>37.583333333333336</v>
      </c>
    </row>
    <row r="46" spans="2:21" x14ac:dyDescent="0.2">
      <c r="B46" t="str">
        <f>B24</f>
        <v>Починка+Инспекция</v>
      </c>
      <c r="C46" s="4" cm="1">
        <f t="array" ref="C46">INDEX($C$11:$P$31,14,$C$33)</f>
        <v>410</v>
      </c>
      <c r="D46" s="4" cm="1">
        <f t="array" ref="D46">INDEX($C$11:$P$31,14,$C$33)</f>
        <v>410</v>
      </c>
      <c r="E46" s="4" cm="1">
        <f t="array" ref="E46">INDEX($C$11:$P$31,14,$C$33)</f>
        <v>410</v>
      </c>
      <c r="F46" s="4" cm="1">
        <f t="array" ref="F46">INDEX($C$11:$P$31,14,$C$33)</f>
        <v>410</v>
      </c>
      <c r="G46" s="4" cm="1">
        <f t="array" ref="G46">INDEX($C$11:$P$31,14,$C$33)</f>
        <v>410</v>
      </c>
      <c r="H46" s="4">
        <f t="shared" si="13"/>
        <v>2050</v>
      </c>
      <c r="I46" s="4">
        <f t="shared" si="14"/>
        <v>410</v>
      </c>
      <c r="J46" s="3">
        <f t="shared" si="15"/>
        <v>34.166666666666664</v>
      </c>
    </row>
    <row r="47" spans="2:21" x14ac:dyDescent="0.2">
      <c r="B47" t="s">
        <v>8</v>
      </c>
      <c r="C47" s="4" cm="1">
        <f t="array" ref="C47">INDEX($C$11:$P$31,16,$C$33)</f>
        <v>74</v>
      </c>
      <c r="D47" s="4" cm="1">
        <f t="array" ref="D47">INDEX($C$11:$P$31,16,$C$33)</f>
        <v>74</v>
      </c>
      <c r="E47" s="4" cm="1">
        <f t="array" ref="E47">INDEX($C$11:$P$31,16,$C$33)</f>
        <v>74</v>
      </c>
      <c r="F47" s="4" cm="1">
        <f t="array" ref="F47">INDEX($C$11:$P$31,16,$C$33)</f>
        <v>74</v>
      </c>
      <c r="G47" s="4" cm="1">
        <f t="array" ref="G47">INDEX($C$11:$P$31,16,$C$33)</f>
        <v>74</v>
      </c>
      <c r="H47" s="4">
        <f t="shared" si="13"/>
        <v>370</v>
      </c>
      <c r="I47" s="4">
        <f t="shared" si="14"/>
        <v>74</v>
      </c>
      <c r="J47" s="3">
        <f t="shared" si="15"/>
        <v>6.166666666666667</v>
      </c>
    </row>
    <row r="48" spans="2:21" x14ac:dyDescent="0.2">
      <c r="B48" t="s">
        <v>7</v>
      </c>
      <c r="C48" s="4">
        <f>-CUMIPMT($C$36/12,$C$37,$C$35,(C42-2024)*12+1,(C42-2024)*12+12,0)</f>
        <v>504.56165463314164</v>
      </c>
      <c r="D48" s="4">
        <f>-CUMIPMT($C$36/12,$C$37,$C$35,(D42-2024)*12+1,(D42-2024)*12+12,0)</f>
        <v>407.96991102115135</v>
      </c>
      <c r="E48" s="4">
        <f>-CUMIPMT($C$36/12,$C$37,$C$35,(E42-2024)*12+1,(E42-2024)*12+12,0)</f>
        <v>303.67242297643838</v>
      </c>
      <c r="F48" s="4">
        <f>-CUMIPMT($C$36/12,$C$37,$C$35,(F42-2024)*12+1,(F42-2024)*12+12,0)</f>
        <v>191.05445372086797</v>
      </c>
      <c r="G48" s="4">
        <f>-CUMIPMT($C$36/12,$C$37,$C$35,(G42-2024)*12+1,(G42-2024)*12+12,0)</f>
        <v>69.452224971010992</v>
      </c>
      <c r="H48" s="4">
        <f t="shared" si="13"/>
        <v>1476.7106673226103</v>
      </c>
      <c r="I48" s="4">
        <f t="shared" si="14"/>
        <v>295.34213346452208</v>
      </c>
      <c r="J48" s="3">
        <f t="shared" si="15"/>
        <v>24.61184445537684</v>
      </c>
      <c r="K48" s="4"/>
    </row>
    <row r="49" spans="1:27" x14ac:dyDescent="0.2">
      <c r="B49" t="s">
        <v>6</v>
      </c>
      <c r="C49" s="5">
        <f>C35*($C$39)</f>
        <v>248.50000000000003</v>
      </c>
      <c r="D49" s="5">
        <f>($C$35-C49)*($C$39)</f>
        <v>239.80250000000001</v>
      </c>
      <c r="E49" s="5">
        <f>($C$35-D49-C49)*($C$39)</f>
        <v>231.40941250000003</v>
      </c>
      <c r="F49" s="5">
        <f>($C$35-E49-D49-C49)*($C$39)</f>
        <v>223.31008306250001</v>
      </c>
      <c r="G49" s="5">
        <f>($C$35-F49-E49-D49-C49)*($C$39)</f>
        <v>215.49423015531252</v>
      </c>
      <c r="H49" s="4">
        <f t="shared" si="13"/>
        <v>1158.5162257178126</v>
      </c>
      <c r="I49" s="4">
        <f t="shared" si="14"/>
        <v>231.70324514356253</v>
      </c>
      <c r="J49" s="3">
        <f t="shared" si="15"/>
        <v>19.308603761963543</v>
      </c>
    </row>
    <row r="50" spans="1:27" x14ac:dyDescent="0.2">
      <c r="B50" t="s">
        <v>5</v>
      </c>
      <c r="C50" s="5">
        <f>C35*C40</f>
        <v>284</v>
      </c>
      <c r="D50" s="5">
        <f>($C$35+C50)*$C$40</f>
        <v>295.36</v>
      </c>
      <c r="E50" s="5">
        <f>($C$35+D50+C50)*$C$40</f>
        <v>307.17439999999999</v>
      </c>
      <c r="F50" s="5">
        <f>($C$35+E50+D50+C50)*$C$40</f>
        <v>319.46137599999997</v>
      </c>
      <c r="G50" s="5">
        <f>($C$35+F50+E50+D50+C50)*$C$40</f>
        <v>332.23983104000001</v>
      </c>
      <c r="H50" s="4">
        <f t="shared" si="13"/>
        <v>1538.2356070400001</v>
      </c>
      <c r="I50" s="4">
        <f t="shared" si="14"/>
        <v>307.64712140800003</v>
      </c>
      <c r="J50" s="3">
        <f t="shared" si="15"/>
        <v>25.637260117333337</v>
      </c>
    </row>
    <row r="51" spans="1:27" x14ac:dyDescent="0.2">
      <c r="B51" t="s">
        <v>4</v>
      </c>
      <c r="C51" s="4">
        <f>-C35-SUM(C44:C47)</f>
        <v>-9040.7199999999993</v>
      </c>
      <c r="D51" s="4">
        <f>-SUM(D44:D47)</f>
        <v>-1940.7199999999998</v>
      </c>
      <c r="E51" s="4">
        <f t="shared" ref="E51:F51" si="16">-SUM(E44:E47)</f>
        <v>-1940.7199999999998</v>
      </c>
      <c r="F51" s="4">
        <f t="shared" si="16"/>
        <v>-1940.7199999999998</v>
      </c>
      <c r="G51" s="4">
        <f>-SUM(G44:G47)+C35-H43-H49</f>
        <v>1100.763774282188</v>
      </c>
      <c r="H51" s="4">
        <f>SUM(C51:G51)</f>
        <v>-13762.116225717809</v>
      </c>
      <c r="I51" s="4">
        <f t="shared" si="14"/>
        <v>-2752.4232451435619</v>
      </c>
      <c r="J51" s="3">
        <f>I51/12</f>
        <v>-229.3686037619635</v>
      </c>
    </row>
    <row r="52" spans="1:27" x14ac:dyDescent="0.2">
      <c r="B52" t="s">
        <v>3</v>
      </c>
      <c r="C52" s="4">
        <f>-SUM(C44:C48)</f>
        <v>-2445.2816546331414</v>
      </c>
      <c r="D52" s="4">
        <f t="shared" ref="D52:F52" si="17">-SUM(D44:D48)</f>
        <v>-2348.6899110211511</v>
      </c>
      <c r="E52" s="4">
        <f t="shared" si="17"/>
        <v>-2244.392422976438</v>
      </c>
      <c r="F52" s="4">
        <f t="shared" si="17"/>
        <v>-2131.7744537208678</v>
      </c>
      <c r="G52" s="4">
        <f>-SUM(G44:G48)+C35-H43</f>
        <v>2189.827775028989</v>
      </c>
      <c r="H52" s="4">
        <f>SUM(C52:G52)</f>
        <v>-6980.3106673226084</v>
      </c>
      <c r="I52" s="4">
        <f t="shared" si="14"/>
        <v>-1396.0621334645216</v>
      </c>
      <c r="J52" s="3">
        <f t="shared" ref="J52:J54" si="18">I52/12</f>
        <v>-116.33851112204347</v>
      </c>
    </row>
    <row r="53" spans="1:27" x14ac:dyDescent="0.2">
      <c r="B53" t="s">
        <v>2</v>
      </c>
      <c r="C53" s="4">
        <f>-SUM(C44:C48)</f>
        <v>-2445.2816546331414</v>
      </c>
      <c r="D53" s="4">
        <f t="shared" ref="D53:F53" si="19">-SUM(D44:D48)</f>
        <v>-2348.6899110211511</v>
      </c>
      <c r="E53" s="4">
        <f t="shared" si="19"/>
        <v>-2244.392422976438</v>
      </c>
      <c r="F53" s="4">
        <f t="shared" si="19"/>
        <v>-2131.7744537208678</v>
      </c>
      <c r="G53" s="4">
        <f>-SUM(G44:G48)+C35-H43+H50-H49</f>
        <v>2569.5471563511765</v>
      </c>
      <c r="H53" s="4">
        <f t="shared" si="13"/>
        <v>-6600.591286000421</v>
      </c>
      <c r="I53" s="4">
        <f t="shared" si="14"/>
        <v>-1320.1182572000841</v>
      </c>
      <c r="J53" s="3">
        <f t="shared" si="18"/>
        <v>-110.00985476667368</v>
      </c>
    </row>
    <row r="54" spans="1:27" x14ac:dyDescent="0.2">
      <c r="B54" t="s">
        <v>103</v>
      </c>
      <c r="C54" s="3">
        <f>$C$79*12</f>
        <v>-6654.5986564119212</v>
      </c>
      <c r="D54" s="3">
        <f t="shared" ref="D54" si="20">$C$79*12</f>
        <v>-6654.5986564119212</v>
      </c>
      <c r="E54" s="3">
        <f>$C$79*12-C77</f>
        <v>-25692.881920411921</v>
      </c>
      <c r="F54" s="3">
        <f>-SUM(F44:F47)</f>
        <v>-1940.7199999999998</v>
      </c>
      <c r="G54" s="5">
        <f>-SUM(G44:G47)+C35-H43-F49-G49</f>
        <v>1820.4756867821879</v>
      </c>
      <c r="H54" s="3">
        <f>SUM(C54:G54)</f>
        <v>-39122.323546453583</v>
      </c>
      <c r="I54" s="4">
        <f t="shared" si="14"/>
        <v>-7824.4647092907162</v>
      </c>
      <c r="J54" s="3">
        <f t="shared" si="18"/>
        <v>-652.03872577422635</v>
      </c>
    </row>
    <row r="56" spans="1:27" x14ac:dyDescent="0.2">
      <c r="B56" t="s">
        <v>103</v>
      </c>
      <c r="C56" s="9">
        <v>13</v>
      </c>
    </row>
    <row r="57" spans="1:27" x14ac:dyDescent="0.2">
      <c r="B57" t="s">
        <v>144</v>
      </c>
      <c r="C57" s="9" t="s">
        <v>143</v>
      </c>
      <c r="D57" t="s">
        <v>142</v>
      </c>
      <c r="O57" t="s">
        <v>102</v>
      </c>
      <c r="P57" t="s">
        <v>101</v>
      </c>
      <c r="Q57" t="s">
        <v>54</v>
      </c>
      <c r="R57" t="s">
        <v>55</v>
      </c>
      <c r="S57" t="s">
        <v>100</v>
      </c>
    </row>
    <row r="58" spans="1:27" x14ac:dyDescent="0.2">
      <c r="A58">
        <v>1</v>
      </c>
      <c r="B58" t="s">
        <v>105</v>
      </c>
      <c r="C58" t="str">
        <f>_xlfn.CONCAT(INDEX($C$11:$P$31,2,$C$56)," ",INDEX($C$11:$P$31,3,$C$56))</f>
        <v>Audi Q2 30 TDI</v>
      </c>
      <c r="D58" t="s">
        <v>145</v>
      </c>
      <c r="N58">
        <v>0</v>
      </c>
      <c r="O58">
        <v>0</v>
      </c>
      <c r="P58">
        <v>2023</v>
      </c>
      <c r="Q58">
        <v>34020</v>
      </c>
      <c r="R58">
        <v>59750</v>
      </c>
      <c r="S58">
        <v>4000</v>
      </c>
    </row>
    <row r="59" spans="1:27" x14ac:dyDescent="0.2">
      <c r="A59">
        <f>1+A58</f>
        <v>2</v>
      </c>
      <c r="B59" t="s">
        <v>104</v>
      </c>
      <c r="C59" s="4" cm="1">
        <f t="array" ref="C59">INDEX($C$11:$P$31,12,$C$56)</f>
        <v>21490</v>
      </c>
      <c r="D59" t="s">
        <v>129</v>
      </c>
      <c r="N59">
        <v>1</v>
      </c>
      <c r="O59">
        <v>11000</v>
      </c>
      <c r="P59">
        <v>2022</v>
      </c>
      <c r="Q59" s="6">
        <v>26518.59</v>
      </c>
      <c r="R59">
        <v>47000</v>
      </c>
      <c r="S59">
        <v>20000</v>
      </c>
    </row>
    <row r="60" spans="1:27" x14ac:dyDescent="0.2">
      <c r="A60">
        <f t="shared" ref="A60:A77" si="21">1+A59</f>
        <v>3</v>
      </c>
      <c r="B60" t="s">
        <v>128</v>
      </c>
      <c r="C60" s="4" cm="1">
        <f t="array" ref="C60">INDEX($C$11:$P$31,12,$C$56)*1.3</f>
        <v>27937</v>
      </c>
      <c r="D60" t="s">
        <v>130</v>
      </c>
      <c r="N60">
        <f>N59+1</f>
        <v>2</v>
      </c>
      <c r="O60">
        <f>O59+11000</f>
        <v>22000</v>
      </c>
      <c r="P60">
        <v>2021</v>
      </c>
      <c r="Q60" s="6">
        <v>19017.18</v>
      </c>
      <c r="R60">
        <v>43900</v>
      </c>
      <c r="S60">
        <v>39500</v>
      </c>
    </row>
    <row r="61" spans="1:27" x14ac:dyDescent="0.2">
      <c r="A61">
        <f t="shared" si="21"/>
        <v>4</v>
      </c>
      <c r="B61" t="s">
        <v>146</v>
      </c>
      <c r="C61" s="4" cm="1">
        <f t="array" ref="C61">INDEX($C$11:$P$31,17,$C$56)/5</f>
        <v>1038</v>
      </c>
      <c r="D61" t="s">
        <v>147</v>
      </c>
      <c r="N61">
        <f t="shared" ref="N61:N83" si="22">N60+1</f>
        <v>3</v>
      </c>
      <c r="O61">
        <v>14975</v>
      </c>
      <c r="P61">
        <v>2020</v>
      </c>
      <c r="Q61">
        <v>12900</v>
      </c>
      <c r="R61">
        <v>25880</v>
      </c>
      <c r="S61">
        <v>49100</v>
      </c>
    </row>
    <row r="62" spans="1:27" x14ac:dyDescent="0.2">
      <c r="A62">
        <f t="shared" si="21"/>
        <v>5</v>
      </c>
      <c r="B62" s="17" t="s">
        <v>108</v>
      </c>
      <c r="C62" s="4" cm="1">
        <f t="array" ref="C62">INDEX($C$11:$P$31,19,$C$56)/12</f>
        <v>70.663333333333327</v>
      </c>
      <c r="D62" t="s">
        <v>109</v>
      </c>
      <c r="N62">
        <f t="shared" si="22"/>
        <v>4</v>
      </c>
      <c r="O62">
        <v>22059</v>
      </c>
      <c r="P62">
        <v>2019</v>
      </c>
      <c r="Q62">
        <v>10890</v>
      </c>
      <c r="R62">
        <v>23000</v>
      </c>
      <c r="S62">
        <v>70000</v>
      </c>
    </row>
    <row r="63" spans="1:27" x14ac:dyDescent="0.2">
      <c r="A63">
        <f t="shared" si="21"/>
        <v>6</v>
      </c>
      <c r="B63" s="17" t="s">
        <v>106</v>
      </c>
      <c r="C63" s="4" cm="1">
        <f t="array" ref="C63">INDEX($C$11:$P$31,15,$C$56)/6</f>
        <v>105.26333333333334</v>
      </c>
      <c r="D63" t="s">
        <v>109</v>
      </c>
      <c r="N63">
        <f t="shared" si="22"/>
        <v>5</v>
      </c>
      <c r="O63">
        <v>38000</v>
      </c>
      <c r="P63">
        <v>2018</v>
      </c>
      <c r="Q63">
        <v>10450</v>
      </c>
      <c r="R63">
        <v>19980</v>
      </c>
      <c r="S63">
        <v>107761</v>
      </c>
      <c r="V63" t="s">
        <v>0</v>
      </c>
      <c r="W63" t="s">
        <v>1</v>
      </c>
      <c r="X63" t="s">
        <v>0</v>
      </c>
      <c r="Y63" t="s">
        <v>1</v>
      </c>
    </row>
    <row r="64" spans="1:27" x14ac:dyDescent="0.2">
      <c r="A64">
        <f t="shared" si="21"/>
        <v>7</v>
      </c>
      <c r="B64" s="17" t="s">
        <v>107</v>
      </c>
      <c r="C64" s="4" cm="1">
        <f t="array" ref="C64">(INDEX($C$11:$P$31,14,$C$56)-C5/2)/6</f>
        <v>56</v>
      </c>
      <c r="D64" t="s">
        <v>109</v>
      </c>
      <c r="N64">
        <f t="shared" si="22"/>
        <v>6</v>
      </c>
      <c r="O64">
        <v>86399</v>
      </c>
      <c r="P64">
        <v>2017</v>
      </c>
      <c r="Q64">
        <v>9250</v>
      </c>
      <c r="R64">
        <v>17750</v>
      </c>
      <c r="S64">
        <v>113100</v>
      </c>
      <c r="T64">
        <f>R65-R70</f>
        <v>5910</v>
      </c>
      <c r="U64">
        <v>2017</v>
      </c>
      <c r="V64" s="4">
        <v>20900</v>
      </c>
      <c r="W64" s="4">
        <v>19990</v>
      </c>
      <c r="X64" s="4">
        <v>82706</v>
      </c>
      <c r="Y64" s="4">
        <v>82000</v>
      </c>
      <c r="Z64" s="4">
        <v>110</v>
      </c>
      <c r="AA64" s="4">
        <v>110</v>
      </c>
    </row>
    <row r="65" spans="1:27" x14ac:dyDescent="0.2">
      <c r="A65">
        <f t="shared" si="21"/>
        <v>8</v>
      </c>
      <c r="B65" s="17" t="s">
        <v>110</v>
      </c>
      <c r="C65" s="20">
        <v>0.03</v>
      </c>
      <c r="D65" t="s">
        <v>141</v>
      </c>
      <c r="N65">
        <f>N64+1</f>
        <v>7</v>
      </c>
      <c r="O65">
        <v>103000</v>
      </c>
      <c r="P65" s="12">
        <v>2016</v>
      </c>
      <c r="Q65">
        <v>7950</v>
      </c>
      <c r="R65">
        <v>15900</v>
      </c>
      <c r="S65">
        <v>146074</v>
      </c>
    </row>
    <row r="66" spans="1:27" x14ac:dyDescent="0.2">
      <c r="A66">
        <f t="shared" si="21"/>
        <v>9</v>
      </c>
      <c r="B66" s="17" t="s">
        <v>111</v>
      </c>
      <c r="C66" s="9">
        <v>72</v>
      </c>
      <c r="D66" t="s">
        <v>122</v>
      </c>
      <c r="N66">
        <f t="shared" si="22"/>
        <v>8</v>
      </c>
      <c r="O66">
        <v>75000</v>
      </c>
      <c r="P66">
        <v>2015</v>
      </c>
      <c r="Q66">
        <v>6950</v>
      </c>
      <c r="R66">
        <v>14500</v>
      </c>
      <c r="S66">
        <v>166500</v>
      </c>
    </row>
    <row r="67" spans="1:27" x14ac:dyDescent="0.2">
      <c r="A67">
        <f t="shared" si="21"/>
        <v>10</v>
      </c>
      <c r="B67" s="17" t="s">
        <v>113</v>
      </c>
      <c r="C67" s="20">
        <v>0.6</v>
      </c>
      <c r="D67" t="s">
        <v>120</v>
      </c>
      <c r="N67">
        <f t="shared" si="22"/>
        <v>9</v>
      </c>
      <c r="O67">
        <v>38000</v>
      </c>
      <c r="P67">
        <v>2014</v>
      </c>
      <c r="Q67">
        <v>9150</v>
      </c>
      <c r="R67">
        <v>12400</v>
      </c>
      <c r="S67">
        <v>173000</v>
      </c>
    </row>
    <row r="68" spans="1:27" x14ac:dyDescent="0.2">
      <c r="A68">
        <f t="shared" si="21"/>
        <v>11</v>
      </c>
      <c r="B68" t="s">
        <v>114</v>
      </c>
      <c r="C68" s="9">
        <v>6000</v>
      </c>
      <c r="D68" t="s">
        <v>120</v>
      </c>
      <c r="N68">
        <f t="shared" si="22"/>
        <v>10</v>
      </c>
      <c r="P68">
        <f>P67-1</f>
        <v>2013</v>
      </c>
      <c r="R68">
        <v>12250</v>
      </c>
      <c r="S68">
        <v>159000</v>
      </c>
    </row>
    <row r="69" spans="1:27" x14ac:dyDescent="0.2">
      <c r="A69">
        <f t="shared" si="21"/>
        <v>12</v>
      </c>
      <c r="B69" s="17" t="s">
        <v>112</v>
      </c>
      <c r="C69" s="4">
        <f>-SUM(PMT(C65/12,C66,-C60),C63,C64,C67*C62)</f>
        <v>-628.12705470099343</v>
      </c>
      <c r="D69" t="s">
        <v>121</v>
      </c>
      <c r="N69">
        <f t="shared" si="22"/>
        <v>11</v>
      </c>
      <c r="P69">
        <f t="shared" ref="P69:P84" si="23">P68-1</f>
        <v>2012</v>
      </c>
      <c r="R69">
        <v>10499</v>
      </c>
      <c r="S69">
        <v>246000</v>
      </c>
    </row>
    <row r="70" spans="1:27" x14ac:dyDescent="0.2">
      <c r="A70">
        <f t="shared" si="21"/>
        <v>13</v>
      </c>
      <c r="B70" s="17" t="s">
        <v>115</v>
      </c>
      <c r="C70" s="3">
        <f>1%*C60</f>
        <v>279.37</v>
      </c>
      <c r="D70" t="s">
        <v>148</v>
      </c>
      <c r="N70">
        <f t="shared" si="22"/>
        <v>12</v>
      </c>
      <c r="P70" s="12">
        <f t="shared" si="23"/>
        <v>2011</v>
      </c>
      <c r="R70">
        <v>9990</v>
      </c>
      <c r="S70">
        <v>211640</v>
      </c>
      <c r="U70">
        <v>2013</v>
      </c>
      <c r="V70">
        <v>14490</v>
      </c>
      <c r="W70">
        <v>14900</v>
      </c>
      <c r="X70">
        <v>158000</v>
      </c>
      <c r="Y70">
        <v>150000</v>
      </c>
      <c r="Z70">
        <v>130</v>
      </c>
      <c r="AA70">
        <v>125</v>
      </c>
    </row>
    <row r="71" spans="1:27" x14ac:dyDescent="0.2">
      <c r="A71">
        <f t="shared" si="21"/>
        <v>14</v>
      </c>
      <c r="B71" s="17" t="s">
        <v>116</v>
      </c>
      <c r="C71" s="3">
        <f>C62*C67</f>
        <v>42.397999999999996</v>
      </c>
      <c r="D71" t="s">
        <v>149</v>
      </c>
      <c r="N71">
        <f t="shared" si="22"/>
        <v>13</v>
      </c>
      <c r="P71">
        <f t="shared" si="23"/>
        <v>2010</v>
      </c>
      <c r="R71">
        <v>9200</v>
      </c>
      <c r="S71">
        <v>280000</v>
      </c>
      <c r="V71" s="4">
        <f>V64-V70</f>
        <v>6410</v>
      </c>
      <c r="W71" s="4">
        <f>W64-W70</f>
        <v>5090</v>
      </c>
    </row>
    <row r="72" spans="1:27" x14ac:dyDescent="0.2">
      <c r="A72">
        <f t="shared" si="21"/>
        <v>15</v>
      </c>
      <c r="B72" t="s">
        <v>117</v>
      </c>
      <c r="C72" s="5">
        <f>SUM(C68:C71)</f>
        <v>5693.6409452990065</v>
      </c>
      <c r="D72" t="s">
        <v>150</v>
      </c>
      <c r="N72">
        <f t="shared" si="22"/>
        <v>14</v>
      </c>
      <c r="P72">
        <f t="shared" si="23"/>
        <v>2009</v>
      </c>
      <c r="R72">
        <v>8250</v>
      </c>
      <c r="S72">
        <v>252000</v>
      </c>
    </row>
    <row r="73" spans="1:27" x14ac:dyDescent="0.2">
      <c r="A73">
        <f t="shared" si="21"/>
        <v>16</v>
      </c>
      <c r="B73" s="17" t="s">
        <v>125</v>
      </c>
      <c r="C73">
        <v>125</v>
      </c>
      <c r="D73" t="s">
        <v>124</v>
      </c>
      <c r="N73">
        <f t="shared" si="22"/>
        <v>15</v>
      </c>
      <c r="P73">
        <f t="shared" si="23"/>
        <v>2008</v>
      </c>
      <c r="R73">
        <v>6900</v>
      </c>
      <c r="S73">
        <v>250000</v>
      </c>
    </row>
    <row r="74" spans="1:27" x14ac:dyDescent="0.2">
      <c r="A74">
        <f t="shared" si="21"/>
        <v>17</v>
      </c>
      <c r="B74" s="17" t="s">
        <v>118</v>
      </c>
      <c r="C74" s="5">
        <f>-IPMT(C65/12,1,C66,C60)</f>
        <v>69.842500000000001</v>
      </c>
      <c r="D74" t="s">
        <v>119</v>
      </c>
      <c r="N74">
        <f t="shared" si="22"/>
        <v>16</v>
      </c>
      <c r="P74">
        <f t="shared" si="23"/>
        <v>2007</v>
      </c>
      <c r="R74">
        <v>5999</v>
      </c>
      <c r="S74">
        <v>399900</v>
      </c>
    </row>
    <row r="75" spans="1:27" x14ac:dyDescent="0.2">
      <c r="A75">
        <f t="shared" si="21"/>
        <v>18</v>
      </c>
      <c r="B75" s="17" t="s">
        <v>123</v>
      </c>
      <c r="C75" s="3">
        <f>-C5/2</f>
        <v>-74</v>
      </c>
      <c r="D75" t="s">
        <v>127</v>
      </c>
      <c r="N75">
        <f t="shared" si="22"/>
        <v>17</v>
      </c>
      <c r="P75">
        <f t="shared" si="23"/>
        <v>2006</v>
      </c>
      <c r="R75">
        <v>4500</v>
      </c>
      <c r="S75">
        <v>230000</v>
      </c>
    </row>
    <row r="76" spans="1:27" x14ac:dyDescent="0.2">
      <c r="A76">
        <f t="shared" si="21"/>
        <v>19</v>
      </c>
      <c r="B76" s="17" t="s">
        <v>126</v>
      </c>
      <c r="C76" s="4" cm="1">
        <f t="array" ref="C76">-INDEX($C$11:$P$31,16,$C$56)/12</f>
        <v>-19</v>
      </c>
      <c r="D76" t="s">
        <v>127</v>
      </c>
      <c r="N76">
        <f t="shared" si="22"/>
        <v>18</v>
      </c>
      <c r="P76">
        <f t="shared" si="23"/>
        <v>2005</v>
      </c>
      <c r="R76">
        <v>4500</v>
      </c>
      <c r="S76">
        <v>300000</v>
      </c>
    </row>
    <row r="77" spans="1:27" x14ac:dyDescent="0.2">
      <c r="A77">
        <f t="shared" si="21"/>
        <v>20</v>
      </c>
      <c r="B77" t="s">
        <v>131</v>
      </c>
      <c r="C77" s="5">
        <f>C60*(1-0.12)^3</f>
        <v>19038.283263999998</v>
      </c>
      <c r="D77" t="s">
        <v>132</v>
      </c>
      <c r="N77">
        <f t="shared" si="22"/>
        <v>19</v>
      </c>
      <c r="P77">
        <f t="shared" si="23"/>
        <v>2004</v>
      </c>
      <c r="R77">
        <v>1950</v>
      </c>
      <c r="S77">
        <v>194000</v>
      </c>
    </row>
    <row r="78" spans="1:27" x14ac:dyDescent="0.2">
      <c r="A78">
        <v>21</v>
      </c>
      <c r="B78" t="s">
        <v>134</v>
      </c>
      <c r="C78" s="4" cm="1">
        <f t="array" ref="C78">C59-3*(INDEX($C$11:$P$31,17,$C$56)/5)</f>
        <v>18376</v>
      </c>
      <c r="D78" t="s">
        <v>133</v>
      </c>
      <c r="N78">
        <f t="shared" si="22"/>
        <v>20</v>
      </c>
      <c r="P78">
        <f t="shared" si="23"/>
        <v>2003</v>
      </c>
      <c r="R78">
        <v>1700</v>
      </c>
      <c r="S78">
        <v>382000</v>
      </c>
    </row>
    <row r="79" spans="1:27" x14ac:dyDescent="0.2">
      <c r="A79">
        <v>22</v>
      </c>
      <c r="B79" s="18" t="s">
        <v>135</v>
      </c>
      <c r="C79" s="4">
        <f>SUM(C69+C71-C62,C73,C74,C75,C76)</f>
        <v>-554.54988803432673</v>
      </c>
      <c r="D79" t="s">
        <v>139</v>
      </c>
      <c r="N79">
        <f t="shared" si="22"/>
        <v>21</v>
      </c>
      <c r="P79">
        <f t="shared" si="23"/>
        <v>2002</v>
      </c>
      <c r="R79">
        <v>1600</v>
      </c>
      <c r="S79">
        <v>263400</v>
      </c>
    </row>
    <row r="80" spans="1:27" x14ac:dyDescent="0.2">
      <c r="A80">
        <v>23</v>
      </c>
      <c r="B80" t="s">
        <v>136</v>
      </c>
      <c r="C80" s="3">
        <f>(C79*12-(C77-C78)/3-C61)</f>
        <v>-7913.3597444119205</v>
      </c>
      <c r="D80" t="s">
        <v>138</v>
      </c>
      <c r="N80">
        <f t="shared" si="22"/>
        <v>22</v>
      </c>
      <c r="P80">
        <f t="shared" si="23"/>
        <v>2001</v>
      </c>
      <c r="R80">
        <v>799</v>
      </c>
      <c r="S80">
        <v>397000</v>
      </c>
    </row>
    <row r="81" spans="1:19" x14ac:dyDescent="0.2">
      <c r="A81">
        <v>24</v>
      </c>
      <c r="B81" t="s">
        <v>137</v>
      </c>
      <c r="C81" s="3">
        <f>C80/12</f>
        <v>-659.44664536766004</v>
      </c>
      <c r="D81" t="s">
        <v>140</v>
      </c>
      <c r="N81">
        <f t="shared" si="22"/>
        <v>23</v>
      </c>
      <c r="P81">
        <f t="shared" si="23"/>
        <v>2000</v>
      </c>
      <c r="R81">
        <v>999</v>
      </c>
      <c r="S81">
        <v>330400</v>
      </c>
    </row>
    <row r="82" spans="1:19" x14ac:dyDescent="0.2">
      <c r="N82">
        <f t="shared" si="22"/>
        <v>24</v>
      </c>
      <c r="P82">
        <f t="shared" si="23"/>
        <v>1999</v>
      </c>
      <c r="R82">
        <v>1250</v>
      </c>
      <c r="S82">
        <v>249000</v>
      </c>
    </row>
    <row r="83" spans="1:19" x14ac:dyDescent="0.2">
      <c r="N83">
        <f t="shared" si="22"/>
        <v>25</v>
      </c>
      <c r="P83">
        <f t="shared" si="23"/>
        <v>1998</v>
      </c>
      <c r="R83">
        <v>1800</v>
      </c>
      <c r="S83">
        <v>225000</v>
      </c>
    </row>
    <row r="84" spans="1:19" x14ac:dyDescent="0.2">
      <c r="N84" s="2">
        <f>CORREL(N58:N83,R58:R83)</f>
        <v>-0.85810485534900705</v>
      </c>
      <c r="P84">
        <f t="shared" si="23"/>
        <v>1997</v>
      </c>
      <c r="S84" s="2">
        <f>CORREL(R58:R83,S58:S83)</f>
        <v>-0.8289654997984931</v>
      </c>
    </row>
    <row r="87" spans="1:19" x14ac:dyDescent="0.2">
      <c r="C87" s="7"/>
      <c r="D87" s="7"/>
    </row>
    <row r="88" spans="1:19" x14ac:dyDescent="0.2">
      <c r="C88" s="7"/>
      <c r="D88" s="7"/>
    </row>
    <row r="89" spans="1:19" x14ac:dyDescent="0.2">
      <c r="C89" s="7"/>
      <c r="D89" s="7"/>
    </row>
    <row r="90" spans="1:19" x14ac:dyDescent="0.2">
      <c r="C90" s="7"/>
      <c r="D90" s="7"/>
    </row>
    <row r="91" spans="1:19" x14ac:dyDescent="0.2">
      <c r="C91" s="7"/>
      <c r="D91" s="7"/>
    </row>
    <row r="92" spans="1:19" x14ac:dyDescent="0.2">
      <c r="C92" s="7"/>
      <c r="D92" s="7"/>
    </row>
    <row r="99" spans="3:3" x14ac:dyDescent="0.2">
      <c r="C99" s="19"/>
    </row>
  </sheetData>
  <conditionalFormatting sqref="C16:P16">
    <cfRule type="cellIs" dxfId="1" priority="1" operator="equal">
      <formula>2</formula>
    </cfRule>
    <cfRule type="cellIs" dxfId="0" priority="2" operator="equal">
      <formula>1</formula>
    </cfRule>
  </conditionalFormatting>
  <conditionalFormatting sqref="C28:P28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0:P30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D39" r:id="rId1" xr:uid="{7D5D5760-0D1D-554D-AD5A-41D3CD90E7CF}"/>
  </hyperlinks>
  <pageMargins left="0.7" right="0.7" top="0.75" bottom="0.75" header="0.3" footer="0.3"/>
  <pageSetup orientation="portrait" horizontalDpi="0" verticalDpi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Машина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CarCost2024</dc:title>
  <dc:subject/>
  <dc:creator>Rakovski</dc:creator>
  <cp:keywords/>
  <dc:description/>
  <cp:lastModifiedBy>Todor KHRISTOV</cp:lastModifiedBy>
  <dcterms:created xsi:type="dcterms:W3CDTF">2024-01-13T16:43:25Z</dcterms:created>
  <dcterms:modified xsi:type="dcterms:W3CDTF">2024-01-17T09:34:00Z</dcterms:modified>
  <cp:category/>
</cp:coreProperties>
</file>